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85" windowWidth="15360" windowHeight="9030" activeTab="0"/>
  </bookViews>
  <sheets>
    <sheet name="Title Page" sheetId="1" r:id="rId1"/>
    <sheet name="Enter and Change Data Here" sheetId="2" r:id="rId2"/>
    <sheet name="Cash Flow" sheetId="3" r:id="rId3"/>
    <sheet name="Valuation" sheetId="4" r:id="rId4"/>
    <sheet name="Financial Statements" sheetId="5" r:id="rId5"/>
  </sheets>
  <definedNames>
    <definedName name="_xlnm.Print_Titles" localSheetId="2">'Cash Flow'!$A:$H</definedName>
    <definedName name="_xlnm.Print_Titles" localSheetId="4">'Financial Statements'!$A:$I</definedName>
    <definedName name="_xlnm.Print_Titles" localSheetId="3">'Valuation'!$A:$I</definedName>
  </definedNames>
  <calcPr fullCalcOnLoad="1"/>
</workbook>
</file>

<file path=xl/sharedStrings.xml><?xml version="1.0" encoding="utf-8"?>
<sst xmlns="http://schemas.openxmlformats.org/spreadsheetml/2006/main" count="293" uniqueCount="265">
  <si>
    <t>Financing</t>
  </si>
  <si>
    <t>Length of Loan (years)</t>
  </si>
  <si>
    <t>Depreciation</t>
  </si>
  <si>
    <t>Income Tax Rate (%)</t>
  </si>
  <si>
    <t>Net Earnings</t>
  </si>
  <si>
    <t>Benchmarks</t>
  </si>
  <si>
    <t>Revenue</t>
  </si>
  <si>
    <t>Cash</t>
  </si>
  <si>
    <t>Annual Compound Interest Rate (%)</t>
  </si>
  <si>
    <t>Payback time (years)</t>
  </si>
  <si>
    <t>Number of Wind Turbines</t>
  </si>
  <si>
    <t>Green Energy Credits</t>
  </si>
  <si>
    <t>Financial Ratios</t>
  </si>
  <si>
    <t>Nordex</t>
  </si>
  <si>
    <t>Total Nameplate Rated Output (MW)</t>
  </si>
  <si>
    <t>American Wind Energy Association</t>
  </si>
  <si>
    <t>Per Wind Turbine Nameplate Rated Output (MW)</t>
  </si>
  <si>
    <t>Annualized Total Nameplate Rated Output (MWh)</t>
  </si>
  <si>
    <t>Project Parameters</t>
  </si>
  <si>
    <t>Capital Cost</t>
  </si>
  <si>
    <t xml:space="preserve">                      Nameplated Rated Output over time</t>
  </si>
  <si>
    <t>Renewable Energy Systems - King Mountain Windfarm</t>
  </si>
  <si>
    <t>The UK Wind Energy Association - Offshore</t>
  </si>
  <si>
    <t>Project Life (years)</t>
  </si>
  <si>
    <t>(years)</t>
  </si>
  <si>
    <t>Underwriting Fee</t>
  </si>
  <si>
    <t>Income Tax</t>
  </si>
  <si>
    <t>Danish Wind Industry Association</t>
  </si>
  <si>
    <t>SAGE</t>
  </si>
  <si>
    <t>GAAP Straight Line Depreciation (years)</t>
  </si>
  <si>
    <t>Generally Accepted Accounting Principles</t>
  </si>
  <si>
    <t>Income Tax Depreciation (Year 1) (% of Capital Cost)</t>
  </si>
  <si>
    <t>Income Tax Depreciation (Year 2) (% of Capital Cost)</t>
  </si>
  <si>
    <t>Income Tax Depreciation (Year 3) (% of Capital Cost)</t>
  </si>
  <si>
    <t>Income Tax Depreciation (Year 4) (% of Capital Cost)</t>
  </si>
  <si>
    <t>Income Tax Depreciation (Year 5) (% of Capital Cost)</t>
  </si>
  <si>
    <t>Income Tax Depreciation (Year 6) (% of Capital Cost)</t>
  </si>
  <si>
    <t>Income Tax Depreciation (Year 7) (% of Capital Cost)</t>
  </si>
  <si>
    <t>Income Tax Depreciation (Year 8) (% of Capital Cost)</t>
  </si>
  <si>
    <t>Income Tax Depreciation (Year 9) (% of Capital Cost)</t>
  </si>
  <si>
    <t>Income Tax Depreciation (Year 10) (% of Capital Cost)</t>
  </si>
  <si>
    <t>Income Tax Depreciation (Year 11) (% of Capital Cost)</t>
  </si>
  <si>
    <t>Income Tax Depreciation (Year 12) (% of Capital Cost)</t>
  </si>
  <si>
    <t>Income Tax Depreciation (Year 13) (% of Capital Cost)</t>
  </si>
  <si>
    <t>Income Tax Depreciation (Year 14) (% of Capital Cost)</t>
  </si>
  <si>
    <t>Income Tax Depreciation (Year 15) (% of Capital Cost)</t>
  </si>
  <si>
    <t>Income Tax Depreciation (Year 16) (% of Capital Cost)</t>
  </si>
  <si>
    <t>Income Tax Depreciation (Year 17) (% of Capital Cost)</t>
  </si>
  <si>
    <t>Income Tax Depreciation (Year 18) (% of Capital Cost)</t>
  </si>
  <si>
    <t>Income Tax Depreciation (Year 19) (% of Capital Cost)</t>
  </si>
  <si>
    <t>Income Tax Depreciation (Year 20) (% of Capital Cost)</t>
  </si>
  <si>
    <t>Income Tax Depreciation (Year 21) (% of Capital Cost)</t>
  </si>
  <si>
    <t>Income Tax Depreciation (Year 22) (% of Capital Cost)</t>
  </si>
  <si>
    <t>Income Tax Depreciation (Year 23) (% of Capital Cost)</t>
  </si>
  <si>
    <t>Income Tax Depreciation (Year 24) (% of Capital Cost)</t>
  </si>
  <si>
    <t>Income Tax Depreciation (Year 25) (% of Capital Cost)</t>
  </si>
  <si>
    <t>Inflation</t>
  </si>
  <si>
    <t>Electricity Selling Price Annual Inflation (%)</t>
  </si>
  <si>
    <t>Cash Flow Present Value Discount Rate (%)</t>
  </si>
  <si>
    <t>Is other taxable income available to offset losses (Yor N)</t>
  </si>
  <si>
    <t>Assets</t>
  </si>
  <si>
    <t>Fixed Assets</t>
  </si>
  <si>
    <t>Accumulated Depreciation</t>
  </si>
  <si>
    <t>Total Assets</t>
  </si>
  <si>
    <t>Liabilities and Shareholders' Equity</t>
  </si>
  <si>
    <t>Long Term Debt</t>
  </si>
  <si>
    <t>Common Share Capital</t>
  </si>
  <si>
    <t>Qty issued</t>
  </si>
  <si>
    <t>Retained Earnings</t>
  </si>
  <si>
    <t>Total Liabilities and Shareholders' Equity</t>
  </si>
  <si>
    <t>Depreciation &amp; Amortization</t>
  </si>
  <si>
    <t>Net Operating Profit</t>
  </si>
  <si>
    <t xml:space="preserve">Net Earnings </t>
  </si>
  <si>
    <t xml:space="preserve"> at December 31</t>
  </si>
  <si>
    <t xml:space="preserve"> for the twelve months ended December 31</t>
  </si>
  <si>
    <t>Intangible Assets</t>
  </si>
  <si>
    <t>Underwriting Fees</t>
  </si>
  <si>
    <t>Deferred Income Taxes</t>
  </si>
  <si>
    <t>Net Sales</t>
  </si>
  <si>
    <t>Selling, Administrative, and General Expenses</t>
  </si>
  <si>
    <t>Interest Expense</t>
  </si>
  <si>
    <t>Earnings before Taxes</t>
  </si>
  <si>
    <t>Cash Generated from (used in)</t>
  </si>
  <si>
    <t>Operating Activities</t>
  </si>
  <si>
    <t>Financing Activities</t>
  </si>
  <si>
    <t>Investing Activities</t>
  </si>
  <si>
    <t>Accumulated Amortization</t>
  </si>
  <si>
    <t>Opening Cash Balance</t>
  </si>
  <si>
    <t>Ending Cash Balance</t>
  </si>
  <si>
    <t>Purchase of Plant, Property and Equipment</t>
  </si>
  <si>
    <t>Corporate Structure</t>
  </si>
  <si>
    <t>(Change only data in blue)</t>
  </si>
  <si>
    <t>Increase (Decrease) in Cash</t>
  </si>
  <si>
    <t>Site Wind Speed Feasibility Studies</t>
  </si>
  <si>
    <t>Legal Fees, Permits, Contracts</t>
  </si>
  <si>
    <t>Meetings, Travel, Entertainment</t>
  </si>
  <si>
    <t>Engineering</t>
  </si>
  <si>
    <t>Land</t>
  </si>
  <si>
    <t>Road Access</t>
  </si>
  <si>
    <t>Site Preparation including Power line to Grid</t>
  </si>
  <si>
    <t>Transformer</t>
  </si>
  <si>
    <t>Site Control Office including VPN</t>
  </si>
  <si>
    <t>Base</t>
  </si>
  <si>
    <t>Tower</t>
  </si>
  <si>
    <t>Wind Turbine and Blading System</t>
  </si>
  <si>
    <t>Control System</t>
  </si>
  <si>
    <t>Installation Labour</t>
  </si>
  <si>
    <t>Installation Material</t>
  </si>
  <si>
    <t>Company Name (Full)</t>
  </si>
  <si>
    <t>Company Name (Abreviated)</t>
  </si>
  <si>
    <t>Annual O&amp;M and SAGE</t>
  </si>
  <si>
    <t>Depreciation and Amortization</t>
  </si>
  <si>
    <t>Input 1</t>
  </si>
  <si>
    <t>Input 2</t>
  </si>
  <si>
    <t>Output 1</t>
  </si>
  <si>
    <t>Output 2</t>
  </si>
  <si>
    <t>Input 3</t>
  </si>
  <si>
    <t>Input 4</t>
  </si>
  <si>
    <t>$US</t>
  </si>
  <si>
    <t>IPO</t>
  </si>
  <si>
    <t>Dividends</t>
  </si>
  <si>
    <t xml:space="preserve"> before the Industrial Revolution (Source - Journal of the Association of Professional Engineers and Geophysicists of British Columbia, "Innovation", June 2002).</t>
  </si>
  <si>
    <t xml:space="preserve"> sources, usually coal fired power stations (Source - Danish Wind Industry Association); There is now 30% more carbon dioxide in the earth's atmosphere than</t>
  </si>
  <si>
    <t>Net Cash Flows - Operating Activities</t>
  </si>
  <si>
    <t>Net Cash Flows - Financing Activities</t>
  </si>
  <si>
    <t>Net Cash Flows - Investing Activities</t>
  </si>
  <si>
    <t>Currency (Abbreviated)</t>
  </si>
  <si>
    <t>SAGE Annual Inflation (%)</t>
  </si>
  <si>
    <t>Gross Operating Profit</t>
  </si>
  <si>
    <t>Selling, Administrative and General Expenses (SAGE)</t>
  </si>
  <si>
    <t>Commissioning</t>
  </si>
  <si>
    <t>Working Capital Requirements</t>
  </si>
  <si>
    <t>Year construction is completed</t>
  </si>
  <si>
    <t>Percent of Cash Generated Distributed as Dividends (%)</t>
  </si>
  <si>
    <t>Dividend Distribution</t>
  </si>
  <si>
    <t>GPCO (creator of the RETScreen model)</t>
  </si>
  <si>
    <t>Wind Energy Study in British Columbia, Canada</t>
  </si>
  <si>
    <t>Underwriting Fee (% of Equity raised)</t>
  </si>
  <si>
    <t>Underwriting Fee (% of Debt  raised)</t>
  </si>
  <si>
    <t>% of Capital Cost and Working Capital as Equity  (%)</t>
  </si>
  <si>
    <t>Capital Structure</t>
  </si>
  <si>
    <t>Number of Common Shares issued to Founders (no cost)</t>
  </si>
  <si>
    <t>Forward Multiple on Annual EBITDA</t>
  </si>
  <si>
    <t>Weighting (%)</t>
  </si>
  <si>
    <t>Forward multiple on Annual Earnings</t>
  </si>
  <si>
    <t>Forward Multiple on Annual Earnings (post commissioning)</t>
  </si>
  <si>
    <t>Forward Multiple on Annual EBITDA (post commissioning)</t>
  </si>
  <si>
    <t>Common Share Prices</t>
  </si>
  <si>
    <t>Number of Additional Common Shared Issued at IPO</t>
  </si>
  <si>
    <t xml:space="preserve"> GAAP Balance Sheet </t>
  </si>
  <si>
    <t xml:space="preserve"> GAAP Cash Flow Statement</t>
  </si>
  <si>
    <t xml:space="preserve"> GAAP Income Statement</t>
  </si>
  <si>
    <t>Financial Model</t>
  </si>
  <si>
    <t xml:space="preserve">by Tom Kingston P.Eng MBA  </t>
  </si>
  <si>
    <t>Interest on Cash Balances</t>
  </si>
  <si>
    <t>End of Year</t>
  </si>
  <si>
    <t>Net Revenue</t>
  </si>
  <si>
    <t>COGS (O&amp;M)</t>
  </si>
  <si>
    <t>Outstanding Principal</t>
  </si>
  <si>
    <t>Loan Payment</t>
  </si>
  <si>
    <t>Principal Payment</t>
  </si>
  <si>
    <t>GAAP Depreciation Expense</t>
  </si>
  <si>
    <t>Income Tax Depreciation Expense</t>
  </si>
  <si>
    <t>Cash Flow (for IRR)</t>
  </si>
  <si>
    <t>Current Income Taxes (for IRR)</t>
  </si>
  <si>
    <t>Deferred Income Taxes (for IRR)</t>
  </si>
  <si>
    <t>GAAP Taxable Income (for IRR)</t>
  </si>
  <si>
    <t>Income Tax Taxable Income (for IRR)</t>
  </si>
  <si>
    <t>Carry Forward Losses (for IRR)</t>
  </si>
  <si>
    <t>Dividends Paid</t>
  </si>
  <si>
    <t>New Income Tax Taxable Income</t>
  </si>
  <si>
    <t>New GAAP Taxable Income</t>
  </si>
  <si>
    <t>New Carry Forward Losses</t>
  </si>
  <si>
    <t>New Current Income Taxes</t>
  </si>
  <si>
    <t xml:space="preserve">New Deferred Income Taxes </t>
  </si>
  <si>
    <t>New Cash Flow</t>
  </si>
  <si>
    <t>N</t>
  </si>
  <si>
    <t>Payback Time Calculation</t>
  </si>
  <si>
    <t>New GAAP Net Earnings</t>
  </si>
  <si>
    <t>Interest Coverage</t>
  </si>
  <si>
    <t>Cash Flow to Total Debt</t>
  </si>
  <si>
    <t>Operating Profit Margin</t>
  </si>
  <si>
    <t>Net Profit Margin</t>
  </si>
  <si>
    <t>Interest (Income)</t>
  </si>
  <si>
    <t xml:space="preserve">Payback Time </t>
  </si>
  <si>
    <t>(Not IRR)</t>
  </si>
  <si>
    <t>Capacity Factor (%)**</t>
  </si>
  <si>
    <t>IPO Cash Flow IRR*</t>
  </si>
  <si>
    <t>Project Attractiveness*</t>
  </si>
  <si>
    <t>Annual Interest on Ending Cash Balance (%)</t>
  </si>
  <si>
    <t>Total Cash Expenses</t>
  </si>
  <si>
    <t>Current Income Tax</t>
  </si>
  <si>
    <t>Wind Force 12</t>
  </si>
  <si>
    <t>Wind Energy Links</t>
  </si>
  <si>
    <t>Percent of Capacity Factor** Achieved in Year 1 (%)</t>
  </si>
  <si>
    <t>Percent of Capacity Factor** Achieved in Year 2 (%)</t>
  </si>
  <si>
    <t>Percent of Capacity Factor** Achieved in Year 3 (%)</t>
  </si>
  <si>
    <t>Cash Flow (fully commissioned) (Yr 1) (see "Cash Flow" worksheet)</t>
  </si>
  <si>
    <t>Life</t>
  </si>
  <si>
    <t>Forward Multiple on Book Value</t>
  </si>
  <si>
    <t>Other</t>
  </si>
  <si>
    <t>Number of Common shares issued</t>
  </si>
  <si>
    <t>Percent of Capacity Factor Achieved</t>
  </si>
  <si>
    <t>Equity Valuation (see "Valuation" worksheet)</t>
  </si>
  <si>
    <t xml:space="preserve"> Equity Valuation</t>
  </si>
  <si>
    <t>Debt to Equity</t>
  </si>
  <si>
    <t>Pre-tax Return on Invested Capital</t>
  </si>
  <si>
    <t>Net Return on Invested Capital</t>
  </si>
  <si>
    <t>Net Return on Common Equity</t>
  </si>
  <si>
    <r>
      <t>**  Capacity Factor =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  Actual Amount of Power Produced over time         </t>
    </r>
  </si>
  <si>
    <t xml:space="preserve">                      Power produced at Nameplate Rated Output 100% of time </t>
  </si>
  <si>
    <t>*** Green Electricity Premium - A modern 1 MW wind turbine in an average location will annually displace 2,000 tonnes of carbon dioxide from other electricity</t>
  </si>
  <si>
    <t>by Earnings</t>
  </si>
  <si>
    <t>by Discounted Cash Flow</t>
  </si>
  <si>
    <t>by EBITDA</t>
  </si>
  <si>
    <t>by Book Value</t>
  </si>
  <si>
    <t>*    Project Attractiveness - assumes Equity Capital is received on date construction is completed. First year operations begin immediately after construction.</t>
  </si>
  <si>
    <t xml:space="preserve">  Cash Flow from first year of operations occurs twelve months after construction is completed.</t>
  </si>
  <si>
    <t>Income Tax Regulation</t>
  </si>
  <si>
    <t>Cost of Goods Sold (O&amp;M Expenses)</t>
  </si>
  <si>
    <t>Operating and Maintenance Expenses</t>
  </si>
  <si>
    <t>Site Annual O&amp;M Expenses</t>
  </si>
  <si>
    <t>Per Wind Turbine Annual O&amp;M Expenses</t>
  </si>
  <si>
    <t>O&amp;M Expense Annual Inflation (%)</t>
  </si>
  <si>
    <t>Annual Output (fully commissioned) (MWh)</t>
  </si>
  <si>
    <t>New Interest Earned on Cash Balance</t>
  </si>
  <si>
    <t>Post</t>
  </si>
  <si>
    <t>(min)</t>
  </si>
  <si>
    <t>(max)</t>
  </si>
  <si>
    <t>(avg)</t>
  </si>
  <si>
    <t>Interest Earned on Min Cash Balance</t>
  </si>
  <si>
    <t>* assumes IPO occurs 12 months before construction is completed. First year operations begin immediately after construction. Cash Flow from first year of operations occurs 12 months after construction.</t>
  </si>
  <si>
    <t>Windstorm</t>
  </si>
  <si>
    <t>Crane</t>
  </si>
  <si>
    <t>Figure 1.1 Nordex N80 2.5 MW turbine</t>
  </si>
  <si>
    <t>Figure 1.2 Havoygavlen Wind Park - Masoy, Norway</t>
  </si>
  <si>
    <t>Figure 1.3 U.S. Installed Wind Power Capacity 1981-2001</t>
  </si>
  <si>
    <t>With an average wind speed of more than 9 m/s, the wind</t>
  </si>
  <si>
    <t xml:space="preserve">park has a capacity of 40 megawatts and will generate up </t>
  </si>
  <si>
    <t>to 120 GWh of electricity per year.  Havoygavlen is the</t>
  </si>
  <si>
    <t>Table 3.1 Cash Flow Detail</t>
  </si>
  <si>
    <t>Table 3.2 Ratios</t>
  </si>
  <si>
    <t xml:space="preserve">16 installed Nordex N80 2.5 MW wind turbines </t>
  </si>
  <si>
    <t xml:space="preserve">roughly 100 kilometers south of the North Cape, Norway. </t>
  </si>
  <si>
    <r>
      <t>world's northernmost wind park (71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N latitude), located </t>
    </r>
  </si>
  <si>
    <t>The turbines include Nordex's "Power Crane System"</t>
  </si>
  <si>
    <t>for offshore units, allowing all main components to be</t>
  </si>
  <si>
    <t xml:space="preserve">replaced without the assistance of an external crane. </t>
  </si>
  <si>
    <t>80m Tower</t>
  </si>
  <si>
    <t>80m Rotor Diameter</t>
  </si>
  <si>
    <t>Havoygavlen Wind Park Construction Photos</t>
  </si>
  <si>
    <t>WindPower Photos</t>
  </si>
  <si>
    <t>Table 1.2 Wind Turbine Farm Input 2</t>
  </si>
  <si>
    <t>Table 2.2 Wind Turbine Farm Detailed Output</t>
  </si>
  <si>
    <t>Table 1.3 Wind Turbine Farm Input 3</t>
  </si>
  <si>
    <t>Table 1.4 Wind Turbine Farm Input 4</t>
  </si>
  <si>
    <t>Table 1.1 Wind Turbine Farm Input 1</t>
  </si>
  <si>
    <t>Table 2.1 Wind Turbine Farm Economic Viability Results</t>
  </si>
  <si>
    <t>Wind Turbine Farm</t>
  </si>
  <si>
    <t>tom.kingston@vanfm.com</t>
  </si>
  <si>
    <t>http://www.vanfm.com</t>
  </si>
  <si>
    <t>February 12, 2003</t>
  </si>
  <si>
    <t>(construction began Apr 2002, completed Oct 2002)</t>
  </si>
  <si>
    <t>Windstorm Power Company</t>
  </si>
  <si>
    <t>(604) 694-2501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</si>
</sst>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_(* #,##0.0_);_(* \(#,##0.0\);_(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000_-;\-* #,##0.000000_-;_-* &quot;-&quot;??????_-;_-@_-"/>
    <numFmt numFmtId="178" formatCode="_(* #,##0.000_);_(* \(#,##0.000\);_(* &quot;-&quot;??_);_(@_)"/>
    <numFmt numFmtId="179" formatCode="_-* #,##0.000_-;\-* #,##0.000_-;_-* &quot;-&quot;???_-;_-@_-"/>
    <numFmt numFmtId="180" formatCode="mmmm\ d\,\ yyyy"/>
    <numFmt numFmtId="181" formatCode="0.0"/>
    <numFmt numFmtId="182" formatCode="_(* #,##0.0000_);_(* \(#,##0.0000\);_(* &quot;-&quot;??_);_(@_)"/>
    <numFmt numFmtId="183" formatCode="_(* #,##0.00000_);_(* \(#,##0.00000\);_(* &quot;-&quot;??_);_(@_)"/>
    <numFmt numFmtId="184" formatCode="0.000%"/>
    <numFmt numFmtId="185" formatCode="0.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General_)"/>
    <numFmt numFmtId="194" formatCode="mmmm\-yy"/>
    <numFmt numFmtId="195" formatCode="0.0000%"/>
    <numFmt numFmtId="196" formatCode="_(&quot;$&quot;* #,##0.000_);_(&quot;$&quot;* \(#,##0.000\);_(&quot;$&quot;* &quot;-&quot;???_);_(@_)"/>
    <numFmt numFmtId="197" formatCode="_(* #,##0.000_);_(* \(#,##0.000\);_(* &quot;-&quot;?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_);[Red]\(#,##0.0\)"/>
    <numFmt numFmtId="203" formatCode="0_);\(0\)"/>
    <numFmt numFmtId="204" formatCode="m/d"/>
    <numFmt numFmtId="205" formatCode="0.00000%"/>
    <numFmt numFmtId="206" formatCode="0.000000%"/>
    <numFmt numFmtId="207" formatCode="0.0000000000"/>
    <numFmt numFmtId="208" formatCode="0.000000000"/>
    <numFmt numFmtId="209" formatCode="_-* #,##0.00000_-;\-* #,##0.00000_-;_-* &quot;-&quot;??_-;_-@_-"/>
    <numFmt numFmtId="210" formatCode="#,##0.00_ ;\-#,##0.00\ "/>
  </numFmts>
  <fonts count="20">
    <font>
      <sz val="10"/>
      <name val="Arial"/>
      <family val="0"/>
    </font>
    <font>
      <sz val="10"/>
      <color indexed="3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3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doubleAccounting"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1" fontId="8" fillId="0" borderId="0">
      <alignment/>
      <protection locked="0"/>
    </xf>
    <xf numFmtId="3" fontId="8" fillId="0" borderId="0" applyProtection="0">
      <alignment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1" fillId="0" borderId="0" xfId="15" applyFont="1" applyBorder="1" applyAlignment="1" applyProtection="1">
      <alignment/>
      <protection locked="0"/>
    </xf>
    <xf numFmtId="164" fontId="1" fillId="0" borderId="0" xfId="15" applyNumberFormat="1" applyFont="1" applyBorder="1" applyAlignment="1" applyProtection="1">
      <alignment/>
      <protection locked="0"/>
    </xf>
    <xf numFmtId="168" fontId="1" fillId="0" borderId="0" xfId="15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20" applyAlignment="1">
      <alignment/>
    </xf>
    <xf numFmtId="165" fontId="1" fillId="0" borderId="0" xfId="15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3" fillId="0" borderId="0" xfId="20" applyBorder="1" applyAlignment="1">
      <alignment/>
    </xf>
    <xf numFmtId="164" fontId="1" fillId="0" borderId="0" xfId="15" applyNumberFormat="1" applyFont="1" applyBorder="1" applyAlignment="1" applyProtection="1">
      <alignment/>
      <protection/>
    </xf>
    <xf numFmtId="164" fontId="2" fillId="0" borderId="0" xfId="15" applyNumberFormat="1" applyFont="1" applyBorder="1" applyAlignment="1" applyProtection="1">
      <alignment/>
      <protection/>
    </xf>
    <xf numFmtId="164" fontId="2" fillId="0" borderId="4" xfId="15" applyNumberFormat="1" applyFont="1" applyBorder="1" applyAlignment="1" applyProtection="1">
      <alignment/>
      <protection/>
    </xf>
    <xf numFmtId="171" fontId="2" fillId="0" borderId="4" xfId="15" applyNumberFormat="1" applyFont="1" applyBorder="1" applyAlignment="1" applyProtection="1">
      <alignment/>
      <protection/>
    </xf>
    <xf numFmtId="168" fontId="1" fillId="0" borderId="0" xfId="15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2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7" fontId="1" fillId="0" borderId="0" xfId="15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1" fillId="0" borderId="0" xfId="15" applyFont="1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91" fontId="2" fillId="0" borderId="0" xfId="0" applyNumberFormat="1" applyFont="1" applyAlignment="1">
      <alignment horizontal="left"/>
    </xf>
    <xf numFmtId="191" fontId="2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1" fontId="9" fillId="0" borderId="0" xfId="0" applyNumberFormat="1" applyFont="1" applyBorder="1" applyAlignment="1">
      <alignment/>
    </xf>
    <xf numFmtId="191" fontId="12" fillId="0" borderId="0" xfId="0" applyNumberFormat="1" applyFont="1" applyAlignment="1">
      <alignment/>
    </xf>
    <xf numFmtId="191" fontId="10" fillId="0" borderId="0" xfId="0" applyNumberFormat="1" applyFont="1" applyFill="1" applyBorder="1" applyAlignment="1">
      <alignment/>
    </xf>
    <xf numFmtId="191" fontId="0" fillId="0" borderId="0" xfId="0" applyNumberFormat="1" applyFont="1" applyAlignment="1">
      <alignment horizontal="left"/>
    </xf>
    <xf numFmtId="40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9" fontId="1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0" fillId="0" borderId="0" xfId="0" applyBorder="1" applyAlignment="1" quotePrefix="1">
      <alignment/>
    </xf>
    <xf numFmtId="165" fontId="1" fillId="0" borderId="0" xfId="15" applyNumberFormat="1" applyFont="1" applyBorder="1" applyAlignment="1" applyProtection="1">
      <alignment horizontal="right"/>
      <protection locked="0"/>
    </xf>
    <xf numFmtId="191" fontId="2" fillId="0" borderId="0" xfId="0" applyNumberFormat="1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3" fontId="1" fillId="0" borderId="0" xfId="15" applyFont="1" applyBorder="1" applyAlignment="1" applyProtection="1">
      <alignment horizontal="right"/>
      <protection/>
    </xf>
    <xf numFmtId="0" fontId="2" fillId="2" borderId="5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Continuous"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 horizontal="centerContinuous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9" fontId="0" fillId="4" borderId="0" xfId="0" applyNumberFormat="1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171" fontId="0" fillId="4" borderId="0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9" fontId="0" fillId="3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15" applyNumberFormat="1" applyBorder="1" applyAlignment="1" applyProtection="1">
      <alignment/>
      <protection/>
    </xf>
    <xf numFmtId="164" fontId="0" fillId="0" borderId="6" xfId="15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15" applyNumberFormat="1" applyBorder="1" applyAlignment="1" applyProtection="1">
      <alignment/>
      <protection/>
    </xf>
    <xf numFmtId="164" fontId="0" fillId="0" borderId="1" xfId="15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9" fontId="0" fillId="0" borderId="0" xfId="23" applyNumberFormat="1" applyBorder="1" applyAlignment="1" applyProtection="1">
      <alignment/>
      <protection/>
    </xf>
    <xf numFmtId="164" fontId="1" fillId="0" borderId="3" xfId="15" applyNumberFormat="1" applyFont="1" applyBorder="1" applyAlignment="1" applyProtection="1">
      <alignment/>
      <protection/>
    </xf>
    <xf numFmtId="164" fontId="0" fillId="0" borderId="8" xfId="15" applyNumberFormat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1" fillId="0" borderId="0" xfId="15" applyFont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9" xfId="0" applyBorder="1" applyAlignment="1">
      <alignment/>
    </xf>
    <xf numFmtId="164" fontId="0" fillId="0" borderId="9" xfId="15" applyNumberFormat="1" applyBorder="1" applyAlignment="1">
      <alignment/>
    </xf>
    <xf numFmtId="0" fontId="1" fillId="0" borderId="0" xfId="15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Continuous"/>
    </xf>
    <xf numFmtId="0" fontId="3" fillId="0" borderId="0" xfId="20" applyAlignment="1" applyProtection="1">
      <alignment/>
      <protection/>
    </xf>
    <xf numFmtId="43" fontId="1" fillId="0" borderId="0" xfId="15" applyFont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64" fontId="0" fillId="0" borderId="0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182" fontId="1" fillId="0" borderId="0" xfId="15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164" fontId="0" fillId="5" borderId="0" xfId="15" applyNumberFormat="1" applyFill="1" applyBorder="1" applyAlignment="1">
      <alignment/>
    </xf>
    <xf numFmtId="43" fontId="0" fillId="0" borderId="0" xfId="15" applyAlignment="1" applyProtection="1">
      <alignment/>
      <protection/>
    </xf>
    <xf numFmtId="0" fontId="0" fillId="0" borderId="0" xfId="0" applyBorder="1" applyAlignment="1">
      <alignment horizontal="left"/>
    </xf>
    <xf numFmtId="191" fontId="0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/>
    </xf>
    <xf numFmtId="164" fontId="0" fillId="5" borderId="0" xfId="0" applyNumberFormat="1" applyFill="1" applyBorder="1" applyAlignment="1">
      <alignment/>
    </xf>
    <xf numFmtId="191" fontId="0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23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15" fontId="0" fillId="0" borderId="0" xfId="0" applyNumberFormat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7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9" fontId="0" fillId="0" borderId="0" xfId="23" applyNumberFormat="1" applyBorder="1" applyAlignment="1" applyProtection="1">
      <alignment horizontal="right"/>
      <protection/>
    </xf>
    <xf numFmtId="171" fontId="0" fillId="4" borderId="0" xfId="0" applyNumberFormat="1" applyFill="1" applyBorder="1" applyAlignment="1" applyProtection="1">
      <alignment horizontal="right"/>
      <protection/>
    </xf>
    <xf numFmtId="0" fontId="2" fillId="0" borderId="1" xfId="0" applyFont="1" applyBorder="1" applyAlignment="1">
      <alignment/>
    </xf>
    <xf numFmtId="19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5" borderId="0" xfId="15" applyNumberFormat="1" applyFon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78" fontId="1" fillId="0" borderId="0" xfId="15" applyNumberFormat="1" applyFont="1" applyBorder="1" applyAlignment="1" applyProtection="1">
      <alignment/>
      <protection locked="0"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 horizontal="left"/>
    </xf>
    <xf numFmtId="171" fontId="0" fillId="0" borderId="0" xfId="0" applyNumberFormat="1" applyFill="1" applyAlignment="1">
      <alignment horizontal="center"/>
    </xf>
    <xf numFmtId="164" fontId="0" fillId="0" borderId="2" xfId="15" applyNumberFormat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69" fontId="0" fillId="0" borderId="3" xfId="23" applyNumberFormat="1" applyBorder="1" applyAlignment="1" applyProtection="1">
      <alignment/>
      <protection/>
    </xf>
    <xf numFmtId="9" fontId="0" fillId="0" borderId="0" xfId="23" applyBorder="1" applyAlignment="1">
      <alignment horizontal="center"/>
    </xf>
    <xf numFmtId="2" fontId="0" fillId="0" borderId="0" xfId="1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171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210" fontId="0" fillId="3" borderId="14" xfId="15" applyNumberFormat="1" applyFill="1" applyBorder="1" applyAlignment="1">
      <alignment horizontal="center"/>
    </xf>
    <xf numFmtId="169" fontId="0" fillId="3" borderId="15" xfId="23" applyNumberFormat="1" applyFill="1" applyBorder="1" applyAlignment="1">
      <alignment horizontal="center"/>
    </xf>
    <xf numFmtId="169" fontId="0" fillId="3" borderId="16" xfId="23" applyNumberFormat="1" applyFill="1" applyBorder="1" applyAlignment="1">
      <alignment horizontal="center"/>
    </xf>
    <xf numFmtId="171" fontId="0" fillId="0" borderId="5" xfId="0" applyNumberFormat="1" applyBorder="1" applyAlignment="1">
      <alignment horizontal="right"/>
    </xf>
    <xf numFmtId="171" fontId="0" fillId="0" borderId="4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1" xfId="23" applyNumberFormat="1" applyBorder="1" applyAlignment="1">
      <alignment horizontal="right"/>
    </xf>
    <xf numFmtId="169" fontId="0" fillId="0" borderId="2" xfId="23" applyNumberFormat="1" applyBorder="1" applyAlignment="1">
      <alignment horizontal="right"/>
    </xf>
    <xf numFmtId="0" fontId="0" fillId="0" borderId="17" xfId="0" applyBorder="1" applyAlignment="1">
      <alignment/>
    </xf>
    <xf numFmtId="164" fontId="16" fillId="0" borderId="0" xfId="15" applyNumberFormat="1" applyFont="1" applyBorder="1" applyAlignment="1">
      <alignment/>
    </xf>
    <xf numFmtId="171" fontId="2" fillId="3" borderId="0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put" xfId="21"/>
    <cellStyle name="Input shar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hyperlink" Target="http://www.tomkingston.com/havoygavlen.html" TargetMode="External" /><Relationship Id="rId4" Type="http://schemas.openxmlformats.org/officeDocument/2006/relationships/hyperlink" Target="http://www.tomkingston.com/havoygavlen.html" TargetMode="External" /><Relationship Id="rId5" Type="http://schemas.openxmlformats.org/officeDocument/2006/relationships/image" Target="../media/image1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18</xdr:row>
      <xdr:rowOff>19050</xdr:rowOff>
    </xdr:from>
    <xdr:to>
      <xdr:col>3</xdr:col>
      <xdr:colOff>66675</xdr:colOff>
      <xdr:row>28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24193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57150</xdr:rowOff>
    </xdr:from>
    <xdr:to>
      <xdr:col>6</xdr:col>
      <xdr:colOff>1619250</xdr:colOff>
      <xdr:row>20</xdr:row>
      <xdr:rowOff>495300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371850"/>
          <a:ext cx="30480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19050</xdr:rowOff>
    </xdr:from>
    <xdr:to>
      <xdr:col>6</xdr:col>
      <xdr:colOff>523875</xdr:colOff>
      <xdr:row>57</xdr:row>
      <xdr:rowOff>28575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7734300"/>
          <a:ext cx="55340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37</xdr:row>
      <xdr:rowOff>123825</xdr:rowOff>
    </xdr:from>
    <xdr:to>
      <xdr:col>6</xdr:col>
      <xdr:colOff>466725</xdr:colOff>
      <xdr:row>40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8162925"/>
          <a:ext cx="3371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nfm.com/" TargetMode="External" /><Relationship Id="rId2" Type="http://schemas.openxmlformats.org/officeDocument/2006/relationships/hyperlink" Target="mailto:tom.kingston@vanfm.com" TargetMode="External" /><Relationship Id="rId3" Type="http://schemas.openxmlformats.org/officeDocument/2006/relationships/hyperlink" Target="http://www.gpco.ca/" TargetMode="External" /><Relationship Id="rId4" Type="http://schemas.openxmlformats.org/officeDocument/2006/relationships/hyperlink" Target="http://www.nordex-online.com/_e/index.html" TargetMode="External" /><Relationship Id="rId5" Type="http://schemas.openxmlformats.org/officeDocument/2006/relationships/hyperlink" Target="http://www.awea.org/" TargetMode="External" /><Relationship Id="rId6" Type="http://schemas.openxmlformats.org/officeDocument/2006/relationships/hyperlink" Target="http://www.windpower.org/core.htm" TargetMode="External" /><Relationship Id="rId7" Type="http://schemas.openxmlformats.org/officeDocument/2006/relationships/hyperlink" Target="http://www.offshorewindfarms.co.uk/" TargetMode="External" /><Relationship Id="rId8" Type="http://schemas.openxmlformats.org/officeDocument/2006/relationships/hyperlink" Target="http://www.res-ltd.com/king/king1.htm" TargetMode="External" /><Relationship Id="rId9" Type="http://schemas.openxmlformats.org/officeDocument/2006/relationships/hyperlink" Target="http://www.livingoceans.org/media_releases/BCWS.pdf" TargetMode="External" /><Relationship Id="rId10" Type="http://schemas.openxmlformats.org/officeDocument/2006/relationships/hyperlink" Target="http://www.greenpeaceusa.org/climate/pdfs/wind-force-12-2002.pdf" TargetMode="External" /><Relationship Id="rId11" Type="http://schemas.openxmlformats.org/officeDocument/2006/relationships/hyperlink" Target="http://www.tomkingston.com/havoygavlen.html" TargetMode="External" /><Relationship Id="rId12" Type="http://schemas.openxmlformats.org/officeDocument/2006/relationships/hyperlink" Target="http://www.windpowerphotos.com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7.8515625" style="0" customWidth="1"/>
    <col min="3" max="3" width="7.8515625" style="0" customWidth="1"/>
    <col min="4" max="4" width="44.8515625" style="0" customWidth="1"/>
    <col min="5" max="5" width="22.421875" style="0" customWidth="1"/>
    <col min="6" max="6" width="9.28125" style="0" hidden="1" customWidth="1"/>
    <col min="7" max="7" width="26.28125" style="0" customWidth="1"/>
  </cols>
  <sheetData>
    <row r="1" spans="1:6" ht="18">
      <c r="A1" s="134"/>
      <c r="B1" s="144" t="str">
        <f>'Enter and Change Data Here'!G7</f>
        <v>Windstorm Power Company</v>
      </c>
      <c r="C1" s="164"/>
      <c r="D1" s="165"/>
      <c r="F1" s="134"/>
    </row>
    <row r="2" spans="1:6" ht="15.75">
      <c r="A2" s="134"/>
      <c r="B2" s="145" t="s">
        <v>258</v>
      </c>
      <c r="C2" s="166"/>
      <c r="D2" s="165"/>
      <c r="E2" s="165"/>
      <c r="F2" s="134"/>
    </row>
    <row r="3" spans="1:6" ht="12.75" customHeight="1">
      <c r="A3" s="134"/>
      <c r="B3" s="144"/>
      <c r="C3" s="164"/>
      <c r="D3" s="165"/>
      <c r="E3" s="165"/>
      <c r="F3" s="134"/>
    </row>
    <row r="4" spans="1:6" ht="18">
      <c r="A4" s="134"/>
      <c r="B4" s="145" t="s">
        <v>152</v>
      </c>
      <c r="C4" s="164"/>
      <c r="E4" s="165"/>
      <c r="F4" s="134"/>
    </row>
    <row r="5" spans="1:6" ht="12.75" customHeight="1">
      <c r="A5" s="134"/>
      <c r="B5" s="145"/>
      <c r="C5" s="164"/>
      <c r="D5" s="165"/>
      <c r="E5" s="165"/>
      <c r="F5" s="134"/>
    </row>
    <row r="6" spans="1:6" ht="18.75">
      <c r="A6" s="134"/>
      <c r="B6" s="231" t="str">
        <f>CONCATENATE(FIXED('Enter and Change Data Here'!O47,0)," MW Wind Turbine Farm")</f>
        <v>100 MW Wind Turbine Farm</v>
      </c>
      <c r="C6" s="164"/>
      <c r="D6" s="165"/>
      <c r="E6" s="165"/>
      <c r="F6" s="134"/>
    </row>
    <row r="7" spans="1:6" ht="12.75" customHeight="1">
      <c r="A7" s="134"/>
      <c r="B7" s="232" t="str">
        <f>CONCATENATE(FIXED('Enter and Change Data Here'!O49/1000,0)," GWh of Electricity per year")</f>
        <v>280 GWh of Electricity per year</v>
      </c>
      <c r="C7" s="164"/>
      <c r="D7" s="165"/>
      <c r="E7" s="165"/>
      <c r="F7" s="134"/>
    </row>
    <row r="8" spans="1:6" ht="12.75" customHeight="1">
      <c r="A8" s="134"/>
      <c r="B8" s="232" t="str">
        <f>CONCATENATE("Operational by January 01, ",'Enter and Change Data Here'!G12+1)</f>
        <v>Operational by January 01, 2005</v>
      </c>
      <c r="C8" s="164"/>
      <c r="D8" s="165"/>
      <c r="E8" s="165"/>
      <c r="F8" s="134"/>
    </row>
    <row r="9" spans="1:6" ht="12.75" customHeight="1">
      <c r="A9" s="134"/>
      <c r="B9" s="145"/>
      <c r="C9" s="164"/>
      <c r="D9" s="165"/>
      <c r="E9" s="165"/>
      <c r="F9" s="134"/>
    </row>
    <row r="10" spans="1:6" ht="15.75">
      <c r="A10" s="134"/>
      <c r="B10" s="167" t="str">
        <f>CONCATENATE('Enter and Change Data Here'!$G$13," ",FIXED('Enter and Change Data Here'!O73*'Enter and Change Data Here'!G10,0)," Equity      ","(",FIXED('Enter and Change Data Here'!G10/1000000,1)," million shares @ ",'Enter and Change Data Here'!G13," ",FIXED('Enter and Change Data Here'!O73,2),"/share)")</f>
        <v>$US 56,200,000 Equity      (20.0 million shares @ $US 2.81/share)</v>
      </c>
      <c r="C10" s="51"/>
      <c r="E10" s="165"/>
      <c r="F10" s="134"/>
    </row>
    <row r="11" spans="1:6" ht="15.75">
      <c r="A11" s="134"/>
      <c r="B11" s="167" t="str">
        <f>CONCATENATE('Enter and Change Data Here'!$G$13," ",FIXED(FIXED('Enter and Change Data Here'!O31/100000,1,FALSE)*100000,0)," Debt")</f>
        <v>$US 37,430,000 Debt</v>
      </c>
      <c r="D11" s="165"/>
      <c r="E11" s="165"/>
      <c r="F11" s="134"/>
    </row>
    <row r="12" spans="1:6" ht="15.75">
      <c r="A12" s="134"/>
      <c r="B12" s="167"/>
      <c r="D12" s="165"/>
      <c r="E12" s="165"/>
      <c r="F12" s="134"/>
    </row>
    <row r="13" spans="1:6" ht="15.75">
      <c r="A13" s="134"/>
      <c r="B13" s="167" t="str">
        <f>CONCATENATE('Enter and Change Data Here'!$G$13," ",FIXED(FIXED('Enter and Change Data Here'!O73*'Enter and Change Data Here'!G10,0)+FIXED(FIXED('Enter and Change Data Here'!O31/100000,1,FALSE)*100000,0),0)," Total Capital Required")</f>
        <v>$US 93,630,000 Total Capital Required</v>
      </c>
      <c r="D13" s="165"/>
      <c r="E13" s="165"/>
      <c r="F13" s="134"/>
    </row>
    <row r="14" spans="2:5" ht="12.75">
      <c r="B14" s="146"/>
      <c r="C14" s="165"/>
      <c r="D14" s="165"/>
      <c r="E14" s="165"/>
    </row>
    <row r="15" spans="2:5" ht="12.75">
      <c r="B15" s="14" t="s">
        <v>234</v>
      </c>
      <c r="C15" s="165"/>
      <c r="D15" s="165"/>
      <c r="E15" s="51" t="s">
        <v>235</v>
      </c>
    </row>
    <row r="16" spans="2:5" ht="12.75">
      <c r="B16" t="s">
        <v>248</v>
      </c>
      <c r="E16" t="s">
        <v>242</v>
      </c>
    </row>
    <row r="17" spans="2:5" ht="12.75">
      <c r="B17" t="s">
        <v>249</v>
      </c>
      <c r="E17" t="s">
        <v>262</v>
      </c>
    </row>
    <row r="18" ht="12.75" customHeight="1"/>
    <row r="19" ht="43.5" customHeight="1"/>
    <row r="20" ht="80.25" customHeight="1">
      <c r="D20" s="230"/>
    </row>
    <row r="21" ht="42.75" customHeight="1">
      <c r="D21" s="230"/>
    </row>
    <row r="22" spans="4:6" ht="12.75" customHeight="1">
      <c r="D22" s="230"/>
      <c r="E22" t="s">
        <v>237</v>
      </c>
      <c r="F22" s="134"/>
    </row>
    <row r="23" ht="12.75">
      <c r="E23" t="s">
        <v>238</v>
      </c>
    </row>
    <row r="24" ht="12.75">
      <c r="E24" t="s">
        <v>239</v>
      </c>
    </row>
    <row r="25" ht="14.25">
      <c r="E25" t="s">
        <v>244</v>
      </c>
    </row>
    <row r="26" spans="3:5" ht="12.75">
      <c r="C26" s="14"/>
      <c r="E26" t="s">
        <v>243</v>
      </c>
    </row>
    <row r="27" ht="12.75">
      <c r="E27" t="s">
        <v>245</v>
      </c>
    </row>
    <row r="28" spans="4:5" ht="12.75">
      <c r="D28" s="233"/>
      <c r="E28" t="s">
        <v>246</v>
      </c>
    </row>
    <row r="29" ht="12.75">
      <c r="E29" t="s">
        <v>247</v>
      </c>
    </row>
    <row r="34" ht="12.75">
      <c r="C34" s="14" t="s">
        <v>236</v>
      </c>
    </row>
    <row r="60" spans="2:7" ht="12.75">
      <c r="B60" s="14" t="s">
        <v>193</v>
      </c>
      <c r="E60" s="14"/>
      <c r="G60" s="14" t="s">
        <v>152</v>
      </c>
    </row>
    <row r="62" spans="2:7" ht="12.75">
      <c r="B62" s="16" t="s">
        <v>13</v>
      </c>
      <c r="C62" s="136"/>
      <c r="G62" t="s">
        <v>153</v>
      </c>
    </row>
    <row r="63" spans="2:3" ht="12.75">
      <c r="B63" s="29" t="s">
        <v>27</v>
      </c>
      <c r="C63" s="136"/>
    </row>
    <row r="64" spans="2:7" ht="12.75">
      <c r="B64" s="19" t="s">
        <v>15</v>
      </c>
      <c r="C64" s="136"/>
      <c r="G64" s="16" t="s">
        <v>260</v>
      </c>
    </row>
    <row r="65" spans="2:7" ht="12.75">
      <c r="B65" s="29" t="s">
        <v>22</v>
      </c>
      <c r="C65" s="136"/>
      <c r="G65" s="16" t="s">
        <v>259</v>
      </c>
    </row>
    <row r="66" spans="2:7" ht="12.75">
      <c r="B66" s="135" t="s">
        <v>135</v>
      </c>
      <c r="G66" s="2" t="s">
        <v>264</v>
      </c>
    </row>
    <row r="67" ht="12.75">
      <c r="B67" s="16" t="s">
        <v>21</v>
      </c>
    </row>
    <row r="68" ht="12.75">
      <c r="B68" s="16" t="s">
        <v>136</v>
      </c>
    </row>
    <row r="69" ht="12.75">
      <c r="B69" s="16" t="s">
        <v>192</v>
      </c>
    </row>
    <row r="70" ht="12.75">
      <c r="B70" s="16" t="s">
        <v>250</v>
      </c>
    </row>
    <row r="71" spans="2:7" ht="12.75">
      <c r="B71" s="16" t="s">
        <v>251</v>
      </c>
      <c r="G71" s="169" t="s">
        <v>261</v>
      </c>
    </row>
  </sheetData>
  <sheetProtection sheet="1" objects="1" scenarios="1"/>
  <hyperlinks>
    <hyperlink ref="G64" r:id="rId1" display="http://www.vanfm.com"/>
    <hyperlink ref="G65" r:id="rId2" display="tom.kingston@vanfm.com"/>
    <hyperlink ref="B66" r:id="rId3" display="GPCO (creator of the RETScreen model)"/>
    <hyperlink ref="B62" r:id="rId4" display="Nordex"/>
    <hyperlink ref="B64" r:id="rId5" display="American Wind Energy Association"/>
    <hyperlink ref="B63" r:id="rId6" display="Danish Wind Energy Association"/>
    <hyperlink ref="B65" r:id="rId7" display="The British Wind Energy Association - Offshore"/>
    <hyperlink ref="B67" r:id="rId8" display="Renewable Energy Systems - King Mountain Windfarm"/>
    <hyperlink ref="B68" r:id="rId9" display="Wind Energy Study in British Columbia, Canada"/>
    <hyperlink ref="B69" r:id="rId10" display="Wind Force 12"/>
    <hyperlink ref="B70" r:id="rId11" display="Havoygavlen Wind Park Construction Photos"/>
    <hyperlink ref="B71" r:id="rId12" display="WindPower Photos"/>
  </hyperlink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portrait" scale="60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54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1.7109375" style="27" customWidth="1"/>
    <col min="5" max="5" width="26.8515625" style="27" customWidth="1"/>
    <col min="6" max="6" width="21.00390625" style="27" customWidth="1"/>
    <col min="7" max="7" width="12.7109375" style="27" customWidth="1"/>
    <col min="8" max="12" width="1.7109375" style="27" customWidth="1"/>
    <col min="13" max="13" width="9.140625" style="27" customWidth="1"/>
    <col min="14" max="14" width="39.421875" style="27" customWidth="1"/>
    <col min="15" max="15" width="12.7109375" style="27" customWidth="1"/>
    <col min="16" max="16" width="1.7109375" style="27" customWidth="1"/>
    <col min="17" max="17" width="9.140625" style="27" customWidth="1"/>
    <col min="18" max="18" width="12.7109375" style="27" customWidth="1"/>
    <col min="19" max="19" width="1.7109375" style="27" customWidth="1"/>
    <col min="20" max="20" width="12.7109375" style="27" customWidth="1"/>
    <col min="21" max="21" width="1.7109375" style="27" customWidth="1"/>
    <col min="22" max="22" width="12.7109375" style="27" customWidth="1"/>
    <col min="23" max="23" width="1.7109375" style="27" customWidth="1"/>
    <col min="24" max="24" width="12.7109375" style="27" customWidth="1"/>
    <col min="25" max="25" width="1.7109375" style="27" customWidth="1"/>
    <col min="26" max="26" width="12.7109375" style="27" customWidth="1"/>
    <col min="27" max="27" width="1.7109375" style="27" customWidth="1"/>
    <col min="28" max="28" width="12.7109375" style="27" customWidth="1"/>
    <col min="29" max="29" width="1.7109375" style="27" customWidth="1"/>
    <col min="30" max="30" width="12.7109375" style="27" customWidth="1"/>
    <col min="31" max="31" width="1.7109375" style="27" customWidth="1"/>
    <col min="32" max="32" width="12.7109375" style="27" customWidth="1"/>
    <col min="33" max="33" width="1.7109375" style="27" customWidth="1"/>
    <col min="34" max="34" width="12.7109375" style="27" customWidth="1"/>
    <col min="35" max="35" width="1.7109375" style="27" customWidth="1"/>
    <col min="36" max="36" width="12.7109375" style="27" customWidth="1"/>
    <col min="37" max="37" width="1.7109375" style="27" customWidth="1"/>
    <col min="38" max="38" width="12.7109375" style="27" customWidth="1"/>
    <col min="39" max="39" width="1.7109375" style="27" customWidth="1"/>
    <col min="40" max="40" width="12.7109375" style="27" customWidth="1"/>
    <col min="41" max="41" width="1.7109375" style="27" customWidth="1"/>
    <col min="42" max="42" width="12.7109375" style="27" customWidth="1"/>
    <col min="43" max="43" width="1.7109375" style="27" customWidth="1"/>
    <col min="44" max="44" width="12.7109375" style="27" customWidth="1"/>
    <col min="45" max="45" width="1.7109375" style="27" customWidth="1"/>
    <col min="46" max="46" width="12.7109375" style="27" customWidth="1"/>
    <col min="47" max="47" width="1.7109375" style="27" customWidth="1"/>
    <col min="48" max="48" width="12.7109375" style="27" customWidth="1"/>
    <col min="49" max="49" width="1.7109375" style="27" customWidth="1"/>
    <col min="50" max="50" width="12.7109375" style="27" customWidth="1"/>
    <col min="51" max="51" width="1.7109375" style="27" customWidth="1"/>
    <col min="52" max="52" width="12.7109375" style="27" customWidth="1"/>
    <col min="53" max="53" width="1.7109375" style="27" customWidth="1"/>
    <col min="54" max="54" width="12.7109375" style="27" customWidth="1"/>
    <col min="55" max="55" width="1.7109375" style="27" customWidth="1"/>
    <col min="56" max="56" width="12.7109375" style="27" customWidth="1"/>
    <col min="57" max="57" width="1.7109375" style="27" customWidth="1"/>
    <col min="58" max="58" width="12.7109375" style="27" customWidth="1"/>
    <col min="59" max="59" width="1.7109375" style="27" customWidth="1"/>
    <col min="60" max="60" width="12.7109375" style="27" customWidth="1"/>
    <col min="61" max="61" width="1.7109375" style="27" customWidth="1"/>
    <col min="62" max="62" width="12.7109375" style="27" customWidth="1"/>
    <col min="63" max="63" width="1.7109375" style="27" customWidth="1"/>
    <col min="64" max="64" width="12.7109375" style="27" customWidth="1"/>
    <col min="65" max="65" width="1.7109375" style="27" customWidth="1"/>
    <col min="66" max="66" width="12.7109375" style="27" customWidth="1"/>
    <col min="67" max="67" width="1.7109375" style="27" customWidth="1"/>
    <col min="68" max="68" width="12.7109375" style="27" customWidth="1"/>
    <col min="69" max="69" width="1.7109375" style="27" customWidth="1"/>
    <col min="70" max="70" width="12.7109375" style="27" customWidth="1"/>
    <col min="71" max="71" width="1.7109375" style="27" customWidth="1"/>
    <col min="72" max="72" width="12.7109375" style="27" customWidth="1"/>
    <col min="73" max="73" width="1.7109375" style="27" customWidth="1"/>
    <col min="74" max="74" width="12.7109375" style="27" customWidth="1"/>
    <col min="75" max="75" width="1.7109375" style="27" customWidth="1"/>
    <col min="76" max="76" width="12.7109375" style="27" customWidth="1"/>
    <col min="77" max="77" width="1.7109375" style="27" customWidth="1"/>
    <col min="78" max="78" width="12.7109375" style="27" customWidth="1"/>
    <col min="79" max="79" width="1.7109375" style="27" customWidth="1"/>
    <col min="80" max="16384" width="9.140625" style="27" customWidth="1"/>
  </cols>
  <sheetData>
    <row r="1" spans="2:10" ht="13.5" thickBot="1">
      <c r="B1" s="66" t="s">
        <v>256</v>
      </c>
      <c r="H1" s="67" t="s">
        <v>91</v>
      </c>
      <c r="J1" s="66" t="s">
        <v>257</v>
      </c>
    </row>
    <row r="2" spans="2:16" ht="12.75">
      <c r="B2" s="68"/>
      <c r="C2" s="69"/>
      <c r="D2" s="69"/>
      <c r="E2" s="69"/>
      <c r="F2" s="69"/>
      <c r="G2" s="69"/>
      <c r="H2" s="70"/>
      <c r="J2" s="71"/>
      <c r="K2" s="72"/>
      <c r="L2" s="72"/>
      <c r="M2" s="72"/>
      <c r="N2" s="72"/>
      <c r="O2" s="72"/>
      <c r="P2" s="73"/>
    </row>
    <row r="3" spans="2:16" ht="13.5" thickBot="1">
      <c r="B3" s="74" t="s">
        <v>112</v>
      </c>
      <c r="C3" s="75"/>
      <c r="D3" s="75"/>
      <c r="E3" s="75"/>
      <c r="F3" s="75"/>
      <c r="G3" s="76"/>
      <c r="H3" s="77"/>
      <c r="J3" s="78" t="s">
        <v>114</v>
      </c>
      <c r="K3" s="79"/>
      <c r="L3" s="80"/>
      <c r="M3" s="80"/>
      <c r="N3" s="80"/>
      <c r="O3" s="80"/>
      <c r="P3" s="81"/>
    </row>
    <row r="4" spans="2:16" ht="12.75">
      <c r="B4" s="82"/>
      <c r="C4" s="83"/>
      <c r="D4" s="83"/>
      <c r="E4" s="65"/>
      <c r="F4" s="65"/>
      <c r="G4" s="84"/>
      <c r="H4" s="85"/>
      <c r="I4" s="86"/>
      <c r="J4" s="87">
        <f>IF(O131+O127+O135+O139&lt;&gt;100,"Warning - Valuation Weightings do not sum to 100%",IF(SUM(O90:O114)&lt;&gt;100,"Warning - Income Tax Depreciation does not equal 100%",IF(G26&lt;G121,"Warning - Length of Loan, cell G121, is less than Project life, cell G26.",IF(G26&lt;O87,"Warning - GAAP Depreciation, cell O87, is less than Project life, cell G26.",IF(ABS(SUM('Financial Statements'!J44:DF44)-SUM('Financial Statements'!J55:DF55))&gt;1,"Warning - Balance Sheet doesn't balance","")))))</f>
      </c>
      <c r="K4" s="83"/>
      <c r="L4" s="83"/>
      <c r="M4" s="88"/>
      <c r="N4" s="83"/>
      <c r="O4" s="83"/>
      <c r="P4" s="85"/>
    </row>
    <row r="5" spans="2:16" ht="12.75">
      <c r="B5" s="89"/>
      <c r="C5" s="90" t="s">
        <v>90</v>
      </c>
      <c r="D5" s="90"/>
      <c r="E5" s="90"/>
      <c r="F5" s="90"/>
      <c r="G5" s="91"/>
      <c r="H5" s="92"/>
      <c r="J5" s="93"/>
      <c r="K5" s="94" t="s">
        <v>188</v>
      </c>
      <c r="L5" s="95"/>
      <c r="M5" s="95"/>
      <c r="N5" s="95"/>
      <c r="O5" s="95"/>
      <c r="P5" s="96"/>
    </row>
    <row r="6" spans="2:16" ht="12.75">
      <c r="B6" s="82"/>
      <c r="C6" s="83"/>
      <c r="D6" s="83"/>
      <c r="E6" s="83"/>
      <c r="F6" s="83"/>
      <c r="G6" s="83"/>
      <c r="H6" s="85"/>
      <c r="J6" s="97"/>
      <c r="K6" s="98"/>
      <c r="L6" s="65"/>
      <c r="M6" s="65"/>
      <c r="N6" s="65"/>
      <c r="O6" s="65"/>
      <c r="P6" s="99"/>
    </row>
    <row r="7" spans="2:18" ht="12.75">
      <c r="B7" s="82"/>
      <c r="D7" s="83"/>
      <c r="E7" s="83" t="s">
        <v>108</v>
      </c>
      <c r="F7" s="83"/>
      <c r="G7" s="63" t="s">
        <v>263</v>
      </c>
      <c r="H7" s="85"/>
      <c r="J7" s="97"/>
      <c r="L7" s="65" t="str">
        <f>CONCATENATE($G$26," year Internal Rate of Return")</f>
        <v>25 year Internal Rate of Return</v>
      </c>
      <c r="M7" s="65"/>
      <c r="N7" s="65"/>
      <c r="O7" s="100">
        <f>IF(ISERR('Cash Flow'!DG19)=TRUE," Not Applicable",('Cash Flow'!DG19))</f>
        <v>0.15108617343576353</v>
      </c>
      <c r="P7" s="99"/>
      <c r="R7" s="148"/>
    </row>
    <row r="8" spans="2:16" ht="12.75">
      <c r="B8" s="82"/>
      <c r="D8" s="83"/>
      <c r="E8" s="83" t="s">
        <v>109</v>
      </c>
      <c r="F8" s="83"/>
      <c r="G8" s="63" t="s">
        <v>232</v>
      </c>
      <c r="H8" s="85"/>
      <c r="J8" s="82"/>
      <c r="K8" s="83"/>
      <c r="L8" s="65" t="str">
        <f>CONCATENATE($G$26," year Net Present Value @ ",$O$130,"% Discount Rate (",$G$13,")")</f>
        <v>25 year Net Present Value @ 7% Discount Rate ($US)</v>
      </c>
      <c r="M8" s="83"/>
      <c r="N8" s="83"/>
      <c r="O8" s="101">
        <f>'Cash Flow'!DG21</f>
        <v>41516303.84255535</v>
      </c>
      <c r="P8" s="85"/>
    </row>
    <row r="9" spans="2:16" ht="12.75">
      <c r="B9" s="82"/>
      <c r="D9" s="98"/>
      <c r="E9" s="27" t="s">
        <v>141</v>
      </c>
      <c r="G9" s="11">
        <v>2000000</v>
      </c>
      <c r="H9" s="85"/>
      <c r="J9" s="82"/>
      <c r="K9" s="83"/>
      <c r="L9" s="83" t="s">
        <v>9</v>
      </c>
      <c r="M9" s="83"/>
      <c r="N9" s="83"/>
      <c r="O9" s="102">
        <f>'Cash Flow'!DG24</f>
        <v>5.802492897868035</v>
      </c>
      <c r="P9" s="85"/>
    </row>
    <row r="10" spans="2:16" ht="12.75">
      <c r="B10" s="82"/>
      <c r="D10" s="98"/>
      <c r="E10" s="83" t="s">
        <v>148</v>
      </c>
      <c r="F10" s="83"/>
      <c r="G10" s="11">
        <v>20000000</v>
      </c>
      <c r="H10" s="85"/>
      <c r="J10" s="82"/>
      <c r="K10" s="83"/>
      <c r="L10" s="83"/>
      <c r="M10" s="83"/>
      <c r="N10" s="83"/>
      <c r="O10" s="138"/>
      <c r="P10" s="85"/>
    </row>
    <row r="11" spans="2:16" ht="12.75">
      <c r="B11" s="82"/>
      <c r="H11" s="85"/>
      <c r="J11" s="82"/>
      <c r="K11" s="83"/>
      <c r="L11" s="65" t="str">
        <f>CONCATENATE("Interest Coverage (post commissioning) (min over ",$G$26," years)")</f>
        <v>Interest Coverage (post commissioning) (min over 25 years)</v>
      </c>
      <c r="M11" s="83"/>
      <c r="N11" s="83"/>
      <c r="O11" s="176">
        <f>IF(G120=0,"N/A",'Cash Flow'!I56)</f>
        <v>3.15326590946284</v>
      </c>
      <c r="P11" s="85"/>
    </row>
    <row r="12" spans="2:16" ht="12.75">
      <c r="B12" s="82"/>
      <c r="D12" s="83"/>
      <c r="E12" s="83" t="s">
        <v>132</v>
      </c>
      <c r="F12" s="83"/>
      <c r="G12" s="133">
        <v>2004</v>
      </c>
      <c r="H12" s="85"/>
      <c r="J12" s="82"/>
      <c r="K12" s="83"/>
      <c r="L12" s="65" t="str">
        <f>CONCATENATE("Net Profit Margin (post commissioning) (min over ",$G$26," years)")</f>
        <v>Net Profit Margin (post commissioning) (min over 25 years)</v>
      </c>
      <c r="M12" s="83"/>
      <c r="N12" s="83"/>
      <c r="O12" s="100">
        <f>'Cash Flow'!I63</f>
        <v>0.23544241070109012</v>
      </c>
      <c r="P12" s="85"/>
    </row>
    <row r="13" spans="2:16" ht="12.75">
      <c r="B13" s="82"/>
      <c r="D13" s="83"/>
      <c r="E13" s="83" t="s">
        <v>126</v>
      </c>
      <c r="F13" s="83"/>
      <c r="G13" s="63" t="s">
        <v>118</v>
      </c>
      <c r="H13" s="85"/>
      <c r="J13" s="82"/>
      <c r="K13" s="83"/>
      <c r="L13" s="65" t="str">
        <f>CONCATENATE("Pre-tax Return on Invested Capital (average over ",$G$26," years)")</f>
        <v>Pre-tax Return on Invested Capital (average over 25 years)</v>
      </c>
      <c r="O13" s="100">
        <f>'Cash Flow'!DG60</f>
        <v>0.0950948598689099</v>
      </c>
      <c r="P13" s="85"/>
    </row>
    <row r="14" spans="2:16" ht="13.5" thickBot="1">
      <c r="B14" s="97"/>
      <c r="H14" s="99"/>
      <c r="J14" s="103"/>
      <c r="K14" s="104"/>
      <c r="L14" s="104"/>
      <c r="M14" s="104"/>
      <c r="N14" s="104"/>
      <c r="O14" s="104"/>
      <c r="P14" s="105"/>
    </row>
    <row r="15" spans="1:8" ht="12.75">
      <c r="A15" s="83"/>
      <c r="B15" s="106"/>
      <c r="C15" s="107"/>
      <c r="D15" s="107"/>
      <c r="E15" s="107"/>
      <c r="F15" s="107"/>
      <c r="G15" s="107"/>
      <c r="H15" s="106"/>
    </row>
    <row r="16" spans="2:10" ht="13.5" thickBot="1">
      <c r="B16" s="66" t="s">
        <v>252</v>
      </c>
      <c r="H16" s="67" t="s">
        <v>91</v>
      </c>
      <c r="J16" s="66" t="s">
        <v>253</v>
      </c>
    </row>
    <row r="17" spans="2:16" ht="12.75">
      <c r="B17" s="68"/>
      <c r="C17" s="69"/>
      <c r="D17" s="69"/>
      <c r="E17" s="69"/>
      <c r="F17" s="69"/>
      <c r="G17" s="69"/>
      <c r="H17" s="70"/>
      <c r="J17" s="71"/>
      <c r="K17" s="108"/>
      <c r="L17" s="72"/>
      <c r="M17" s="72"/>
      <c r="N17" s="72"/>
      <c r="O17" s="72"/>
      <c r="P17" s="73"/>
    </row>
    <row r="18" spans="2:16" ht="12.75" customHeight="1" thickBot="1">
      <c r="B18" s="74" t="s">
        <v>113</v>
      </c>
      <c r="C18" s="75"/>
      <c r="D18" s="75"/>
      <c r="E18" s="75"/>
      <c r="F18" s="75"/>
      <c r="G18" s="76"/>
      <c r="H18" s="77"/>
      <c r="J18" s="78" t="s">
        <v>115</v>
      </c>
      <c r="K18" s="79"/>
      <c r="L18" s="80"/>
      <c r="M18" s="80"/>
      <c r="N18" s="80"/>
      <c r="O18" s="80"/>
      <c r="P18" s="81"/>
    </row>
    <row r="19" spans="2:16" ht="12.75" customHeight="1">
      <c r="B19" s="109"/>
      <c r="C19" s="107"/>
      <c r="D19" s="107"/>
      <c r="E19" s="107"/>
      <c r="F19" s="107"/>
      <c r="G19" s="107"/>
      <c r="H19" s="110"/>
      <c r="J19" s="97"/>
      <c r="K19" s="98"/>
      <c r="L19" s="65"/>
      <c r="M19" s="65"/>
      <c r="N19" s="65"/>
      <c r="O19" s="65"/>
      <c r="P19" s="99"/>
    </row>
    <row r="20" spans="2:16" ht="12.75" customHeight="1">
      <c r="B20" s="89"/>
      <c r="C20" s="90" t="s">
        <v>18</v>
      </c>
      <c r="D20" s="90"/>
      <c r="E20" s="90"/>
      <c r="F20" s="90"/>
      <c r="G20" s="91"/>
      <c r="H20" s="92"/>
      <c r="J20" s="93"/>
      <c r="K20" s="94" t="s">
        <v>19</v>
      </c>
      <c r="L20" s="95"/>
      <c r="M20" s="95"/>
      <c r="N20" s="95"/>
      <c r="O20" s="111"/>
      <c r="P20" s="96"/>
    </row>
    <row r="21" spans="2:16" s="86" customFormat="1" ht="12.75" customHeight="1">
      <c r="B21" s="97"/>
      <c r="C21" s="98"/>
      <c r="D21" s="98"/>
      <c r="E21" s="98"/>
      <c r="F21" s="98"/>
      <c r="G21" s="65"/>
      <c r="H21" s="99"/>
      <c r="J21" s="97"/>
      <c r="K21" s="98"/>
      <c r="L21" s="83"/>
      <c r="M21" s="27"/>
      <c r="N21" s="27"/>
      <c r="O21" s="115"/>
      <c r="P21" s="99"/>
    </row>
    <row r="22" spans="2:78" s="86" customFormat="1" ht="12.75" customHeight="1">
      <c r="B22" s="97"/>
      <c r="C22" s="98"/>
      <c r="D22" s="98"/>
      <c r="E22" s="83" t="s">
        <v>16</v>
      </c>
      <c r="F22" s="83"/>
      <c r="G22" s="17">
        <v>2.5</v>
      </c>
      <c r="H22" s="99"/>
      <c r="J22" s="97"/>
      <c r="K22" s="98"/>
      <c r="L22" s="83" t="str">
        <f>CONCATENATE("Project Cost (",$G$13,")")</f>
        <v>Project Cost ($US)</v>
      </c>
      <c r="N22" s="27"/>
      <c r="O22" s="112">
        <f>SUM(G48:G57)+G23*SUM(G62:G69)</f>
        <v>84330000</v>
      </c>
      <c r="P22" s="99"/>
      <c r="R22" s="115"/>
      <c r="S22"/>
      <c r="T22" s="115"/>
      <c r="U22"/>
      <c r="V22" s="115"/>
      <c r="W22"/>
      <c r="X22" s="115"/>
      <c r="Y22"/>
      <c r="Z22" s="115"/>
      <c r="AA22"/>
      <c r="AB22" s="115"/>
      <c r="AC22"/>
      <c r="AD22" s="115"/>
      <c r="AE22"/>
      <c r="AF22" s="115"/>
      <c r="AG22"/>
      <c r="AH22" s="115"/>
      <c r="AI22"/>
      <c r="AJ22" s="115"/>
      <c r="AK22"/>
      <c r="AL22" s="115"/>
      <c r="AM22"/>
      <c r="AN22" s="115"/>
      <c r="AO22"/>
      <c r="AP22" s="115"/>
      <c r="AQ22"/>
      <c r="AR22" s="115"/>
      <c r="AS22"/>
      <c r="AT22" s="115"/>
      <c r="AU22"/>
      <c r="AV22" s="115"/>
      <c r="AX22" s="115"/>
      <c r="AZ22" s="115"/>
      <c r="BB22" s="115"/>
      <c r="BD22" s="115"/>
      <c r="BF22" s="115"/>
      <c r="BH22" s="115"/>
      <c r="BJ22" s="115"/>
      <c r="BL22" s="115"/>
      <c r="BN22" s="115"/>
      <c r="BP22" s="115"/>
      <c r="BR22" s="115"/>
      <c r="BT22" s="115"/>
      <c r="BV22" s="115"/>
      <c r="BX22" s="115"/>
      <c r="BZ22" s="115"/>
    </row>
    <row r="23" spans="2:78" ht="12.75" customHeight="1">
      <c r="B23" s="97"/>
      <c r="C23" s="98"/>
      <c r="D23" s="98"/>
      <c r="E23" s="83" t="s">
        <v>10</v>
      </c>
      <c r="F23" s="83"/>
      <c r="G23" s="11">
        <v>40</v>
      </c>
      <c r="H23" s="99"/>
      <c r="J23" s="82"/>
      <c r="L23" s="83" t="str">
        <f>CONCATENATE("Equity Underwriting Fee (",$G$13,")")</f>
        <v>Equity Underwriting Fee ($US)</v>
      </c>
      <c r="O23" s="113">
        <f>G74/100*O30</f>
        <v>4491355.93220339</v>
      </c>
      <c r="P23" s="85"/>
      <c r="R23" s="115"/>
      <c r="S23"/>
      <c r="T23" s="115"/>
      <c r="U23"/>
      <c r="V23" s="115"/>
      <c r="W23"/>
      <c r="X23" s="115"/>
      <c r="Y23"/>
      <c r="Z23" s="115"/>
      <c r="AA23"/>
      <c r="AB23" s="115"/>
      <c r="AC23"/>
      <c r="AD23" s="115"/>
      <c r="AE23"/>
      <c r="AF23" s="115"/>
      <c r="AG23"/>
      <c r="AH23" s="115"/>
      <c r="AI23"/>
      <c r="AJ23" s="115"/>
      <c r="AK23"/>
      <c r="AL23" s="115"/>
      <c r="AM23"/>
      <c r="AN23" s="115"/>
      <c r="AO23"/>
      <c r="AP23" s="115"/>
      <c r="AQ23"/>
      <c r="AR23" s="115"/>
      <c r="AS23"/>
      <c r="AT23" s="115"/>
      <c r="AU23"/>
      <c r="AV23" s="115"/>
      <c r="AX23" s="115"/>
      <c r="AZ23" s="115"/>
      <c r="BB23" s="115"/>
      <c r="BD23" s="115"/>
      <c r="BF23" s="115"/>
      <c r="BH23" s="115"/>
      <c r="BJ23" s="115"/>
      <c r="BL23" s="115"/>
      <c r="BN23" s="115"/>
      <c r="BP23" s="115"/>
      <c r="BR23" s="115"/>
      <c r="BT23" s="115"/>
      <c r="BV23" s="115"/>
      <c r="BX23" s="115"/>
      <c r="BZ23" s="115"/>
    </row>
    <row r="24" spans="1:78" ht="12.75">
      <c r="A24" s="86"/>
      <c r="B24" s="82"/>
      <c r="C24" s="83"/>
      <c r="D24" s="83"/>
      <c r="E24" s="83" t="s">
        <v>186</v>
      </c>
      <c r="F24" s="83"/>
      <c r="G24" s="9">
        <v>32</v>
      </c>
      <c r="H24" s="85"/>
      <c r="J24" s="82"/>
      <c r="L24" s="83" t="str">
        <f>CONCATENATE("Debt Underwriting Fee (",$G$13,")")</f>
        <v>Debt Underwriting Fee ($US)</v>
      </c>
      <c r="N24" s="83"/>
      <c r="O24" s="113">
        <f>G75/100*O31</f>
        <v>748559.3220338986</v>
      </c>
      <c r="P24" s="85"/>
      <c r="R24" s="115"/>
      <c r="S24"/>
      <c r="T24" s="115"/>
      <c r="U24"/>
      <c r="V24" s="115"/>
      <c r="W24"/>
      <c r="X24" s="115"/>
      <c r="Y24"/>
      <c r="Z24" s="115"/>
      <c r="AA24"/>
      <c r="AB24" s="115"/>
      <c r="AC24"/>
      <c r="AD24" s="115"/>
      <c r="AE24"/>
      <c r="AF24" s="115"/>
      <c r="AG24"/>
      <c r="AH24" s="115"/>
      <c r="AI24"/>
      <c r="AJ24" s="115"/>
      <c r="AK24"/>
      <c r="AL24" s="115"/>
      <c r="AM24"/>
      <c r="AN24" s="115"/>
      <c r="AO24"/>
      <c r="AP24" s="115"/>
      <c r="AQ24"/>
      <c r="AR24" s="115"/>
      <c r="AS24"/>
      <c r="AT24" s="115"/>
      <c r="AU24"/>
      <c r="AV24" s="115"/>
      <c r="AX24" s="115"/>
      <c r="AZ24" s="115"/>
      <c r="BB24" s="115"/>
      <c r="BD24" s="115"/>
      <c r="BF24" s="115"/>
      <c r="BH24" s="115"/>
      <c r="BJ24" s="115"/>
      <c r="BL24" s="115"/>
      <c r="BN24" s="115"/>
      <c r="BP24" s="115"/>
      <c r="BR24" s="115"/>
      <c r="BT24" s="115"/>
      <c r="BV24" s="115"/>
      <c r="BX24" s="115"/>
      <c r="BZ24" s="115"/>
    </row>
    <row r="25" spans="1:16" ht="13.5" thickBot="1">
      <c r="A25" s="86"/>
      <c r="B25" s="82"/>
      <c r="C25" s="83"/>
      <c r="D25" s="83"/>
      <c r="H25" s="85"/>
      <c r="J25" s="82"/>
      <c r="P25" s="85"/>
    </row>
    <row r="26" spans="1:16" ht="12.75">
      <c r="A26" s="86"/>
      <c r="B26" s="82"/>
      <c r="C26" s="83"/>
      <c r="D26" s="83"/>
      <c r="E26" s="27" t="s">
        <v>23</v>
      </c>
      <c r="G26" s="11">
        <v>25</v>
      </c>
      <c r="H26" s="85"/>
      <c r="J26" s="82"/>
      <c r="L26" s="120" t="str">
        <f>CONCATENATE("Total Capital Cost (",$G$13,")")</f>
        <v>Total Capital Cost ($US)</v>
      </c>
      <c r="M26" s="83"/>
      <c r="N26" s="83"/>
      <c r="O26" s="22">
        <f>O22+O23+O24</f>
        <v>89569915.25423728</v>
      </c>
      <c r="P26" s="85"/>
    </row>
    <row r="27" spans="1:78" ht="12.75">
      <c r="A27" s="86"/>
      <c r="B27" s="82"/>
      <c r="C27" s="83"/>
      <c r="D27" s="83"/>
      <c r="F27" s="83"/>
      <c r="H27" s="85"/>
      <c r="J27" s="82"/>
      <c r="P27" s="85"/>
      <c r="R27" s="115"/>
      <c r="S27"/>
      <c r="T27" s="115"/>
      <c r="U27"/>
      <c r="V27" s="115"/>
      <c r="W27"/>
      <c r="X27" s="115"/>
      <c r="Y27"/>
      <c r="Z27" s="115"/>
      <c r="AA27"/>
      <c r="AB27" s="115"/>
      <c r="AC27"/>
      <c r="AD27" s="115"/>
      <c r="AE27"/>
      <c r="AF27" s="115"/>
      <c r="AG27"/>
      <c r="AH27" s="115"/>
      <c r="AI27"/>
      <c r="AJ27" s="115"/>
      <c r="AK27"/>
      <c r="AL27" s="115"/>
      <c r="AM27"/>
      <c r="AN27" s="115"/>
      <c r="AO27"/>
      <c r="AP27" s="115"/>
      <c r="AQ27"/>
      <c r="AR27" s="115"/>
      <c r="AS27"/>
      <c r="AT27" s="115"/>
      <c r="AU27"/>
      <c r="AV27" s="115"/>
      <c r="AX27" s="115"/>
      <c r="AZ27" s="115"/>
      <c r="BB27" s="115"/>
      <c r="BD27" s="115"/>
      <c r="BF27" s="115"/>
      <c r="BH27" s="115"/>
      <c r="BJ27" s="115"/>
      <c r="BL27" s="115"/>
      <c r="BN27" s="115"/>
      <c r="BP27" s="115"/>
      <c r="BR27" s="115"/>
      <c r="BT27" s="115"/>
      <c r="BV27" s="115"/>
      <c r="BX27" s="115"/>
      <c r="BZ27" s="115"/>
    </row>
    <row r="28" spans="1:16" ht="12.75">
      <c r="A28" s="86"/>
      <c r="B28" s="89"/>
      <c r="C28" s="90" t="s">
        <v>130</v>
      </c>
      <c r="D28" s="90"/>
      <c r="E28" s="90"/>
      <c r="F28" s="90"/>
      <c r="G28" s="91"/>
      <c r="H28" s="92"/>
      <c r="J28" s="93"/>
      <c r="K28" s="94" t="s">
        <v>140</v>
      </c>
      <c r="L28" s="95"/>
      <c r="M28" s="95"/>
      <c r="N28" s="95"/>
      <c r="O28" s="111"/>
      <c r="P28" s="96"/>
    </row>
    <row r="29" spans="1:16" ht="12.75">
      <c r="A29" s="86"/>
      <c r="B29" s="82"/>
      <c r="C29" s="83"/>
      <c r="D29" s="83"/>
      <c r="E29" s="83"/>
      <c r="F29" s="83"/>
      <c r="G29" s="24"/>
      <c r="H29" s="85"/>
      <c r="J29" s="82"/>
      <c r="P29" s="85"/>
    </row>
    <row r="30" spans="1:16" ht="12.75">
      <c r="A30" s="86"/>
      <c r="B30" s="82"/>
      <c r="C30" s="83"/>
      <c r="D30" s="83"/>
      <c r="E30" s="83" t="s">
        <v>194</v>
      </c>
      <c r="F30" s="83"/>
      <c r="G30" s="9">
        <v>85</v>
      </c>
      <c r="H30" s="85"/>
      <c r="J30" s="82"/>
      <c r="L30" s="27" t="str">
        <f>CONCATENATE("Equity (",$G$13,")")</f>
        <v>Equity ($US)</v>
      </c>
      <c r="O30" s="137">
        <f>IF(G118=0,0,IF(G121=0,(O22+G135)/(1-G74/100),IF(G118=100,(O22+G135)/(1-G74/100),(O22+G135)/(1/(G118/100)+G75/100-G74/100-(G75/100)/(G118/100)))))</f>
        <v>56141949.152542375</v>
      </c>
      <c r="P30" s="85"/>
    </row>
    <row r="31" spans="1:25" ht="12.75">
      <c r="A31" s="86"/>
      <c r="B31" s="82"/>
      <c r="C31" s="83"/>
      <c r="D31" s="83"/>
      <c r="E31" s="83" t="s">
        <v>195</v>
      </c>
      <c r="F31" s="83"/>
      <c r="G31" s="9">
        <v>95</v>
      </c>
      <c r="H31" s="85"/>
      <c r="J31" s="82"/>
      <c r="L31" s="65" t="str">
        <f>CONCATENATE("Debt (",$G$13,")")</f>
        <v>Debt ($US)</v>
      </c>
      <c r="M31" s="83"/>
      <c r="N31" s="83"/>
      <c r="O31" s="112">
        <f>IF(G118=0,(O22+G135)/(1-G75/100),IF(G118=100,0,IF(G121=0,0,(O22+G135)/(1-G75/100-((G74/100)*(G118/100)-G118/100)/(1-G118/100)))))</f>
        <v>37427966.10169493</v>
      </c>
      <c r="P31" s="85"/>
      <c r="R31" s="115"/>
      <c r="S31" s="115"/>
      <c r="T31" s="115"/>
      <c r="U31" s="115"/>
      <c r="V31" s="115"/>
      <c r="W31" s="115"/>
      <c r="X31" s="115"/>
      <c r="Y31" s="115"/>
    </row>
    <row r="32" spans="1:16" ht="13.5" thickBot="1">
      <c r="A32" s="86"/>
      <c r="B32" s="82"/>
      <c r="C32" s="83"/>
      <c r="D32" s="83"/>
      <c r="E32" s="83" t="s">
        <v>196</v>
      </c>
      <c r="F32" s="83"/>
      <c r="G32" s="9">
        <v>100</v>
      </c>
      <c r="H32" s="85"/>
      <c r="J32" s="82"/>
      <c r="P32" s="85"/>
    </row>
    <row r="33" spans="1:16" ht="12.75">
      <c r="A33" s="86"/>
      <c r="B33" s="82"/>
      <c r="C33" s="83"/>
      <c r="D33" s="83"/>
      <c r="E33" s="83"/>
      <c r="F33" s="83"/>
      <c r="G33" s="9"/>
      <c r="H33" s="85"/>
      <c r="J33" s="82"/>
      <c r="L33" s="120" t="str">
        <f>CONCATENATE("Total (includes ",$G$13," ",FIXED(G135,0)," in working capital) (",$G$13,")")</f>
        <v>Total (includes $US 4,000,000 in working capital) ($US)</v>
      </c>
      <c r="O33" s="22">
        <f>O26+G135</f>
        <v>93569915.25423728</v>
      </c>
      <c r="P33" s="85"/>
    </row>
    <row r="34" spans="2:16" ht="12.75">
      <c r="B34" s="82"/>
      <c r="C34" s="83"/>
      <c r="D34" s="83"/>
      <c r="E34" s="83"/>
      <c r="F34" s="83"/>
      <c r="G34" s="83"/>
      <c r="H34" s="85"/>
      <c r="J34" s="82"/>
      <c r="P34" s="85"/>
    </row>
    <row r="35" spans="2:16" ht="12.75">
      <c r="B35" s="89"/>
      <c r="C35" s="90" t="s">
        <v>6</v>
      </c>
      <c r="D35" s="90"/>
      <c r="E35" s="90"/>
      <c r="F35" s="90"/>
      <c r="G35" s="91"/>
      <c r="H35" s="92"/>
      <c r="J35" s="93"/>
      <c r="K35" s="94" t="s">
        <v>197</v>
      </c>
      <c r="L35" s="95"/>
      <c r="M35" s="95"/>
      <c r="N35" s="95"/>
      <c r="O35" s="111"/>
      <c r="P35" s="96"/>
    </row>
    <row r="36" spans="2:16" ht="12.75">
      <c r="B36" s="97"/>
      <c r="C36" s="98"/>
      <c r="D36" s="98"/>
      <c r="E36" s="65"/>
      <c r="F36" s="65"/>
      <c r="G36" s="25"/>
      <c r="H36" s="99"/>
      <c r="J36" s="82"/>
      <c r="K36" s="83"/>
      <c r="L36" s="83"/>
      <c r="M36" s="83"/>
      <c r="N36" s="83"/>
      <c r="O36" s="83"/>
      <c r="P36" s="85"/>
    </row>
    <row r="37" spans="2:16" ht="12.75">
      <c r="B37" s="82"/>
      <c r="C37" s="83"/>
      <c r="D37" s="83"/>
      <c r="E37" s="83" t="str">
        <f>CONCATENATE("Selling Price of Electricity (",G13,"/MWh)")</f>
        <v>Selling Price of Electricity ($US/MWh)</v>
      </c>
      <c r="F37" s="83"/>
      <c r="G37" s="9">
        <v>36</v>
      </c>
      <c r="H37" s="114"/>
      <c r="J37" s="82"/>
      <c r="K37" s="83"/>
      <c r="L37" s="83" t="str">
        <f>CONCATENATE("Gross Revenue (",G13,"/year)")</f>
        <v>Gross Revenue ($US/year)</v>
      </c>
      <c r="M37" s="83"/>
      <c r="N37" s="83"/>
      <c r="O37" s="113">
        <f>O49*(G37+G38)</f>
        <v>17379840</v>
      </c>
      <c r="P37" s="85"/>
    </row>
    <row r="38" spans="2:16" ht="12.75">
      <c r="B38" s="82"/>
      <c r="C38" s="83"/>
      <c r="D38" s="83"/>
      <c r="E38" s="83" t="str">
        <f>CONCATENATE("Green Electricity Premium*** (",G13,"/MWh)")</f>
        <v>Green Electricity Premium*** ($US/MWh)</v>
      </c>
      <c r="F38" s="83"/>
      <c r="G38" s="9">
        <v>26</v>
      </c>
      <c r="H38" s="114"/>
      <c r="J38" s="82"/>
      <c r="K38" s="83"/>
      <c r="L38" s="83" t="str">
        <f>CONCATENATE("Operating and Maintenance Expenses (",G13,"/year)")</f>
        <v>Operating and Maintenance Expenses ($US/year)</v>
      </c>
      <c r="M38" s="83"/>
      <c r="N38" s="83"/>
      <c r="O38" s="112">
        <f>SUM(G89:G93)+SUM(G98:G102)*G23</f>
        <v>2350000</v>
      </c>
      <c r="P38" s="85"/>
    </row>
    <row r="39" spans="2:16" ht="13.5" thickBot="1">
      <c r="B39" s="82"/>
      <c r="C39" s="83"/>
      <c r="D39" s="83"/>
      <c r="G39" s="24"/>
      <c r="H39" s="85"/>
      <c r="J39" s="82"/>
      <c r="K39" s="83"/>
      <c r="P39" s="85"/>
    </row>
    <row r="40" spans="2:16" ht="12.75">
      <c r="B40" s="82"/>
      <c r="C40" s="83"/>
      <c r="D40" s="83"/>
      <c r="E40" s="66" t="str">
        <f>CONCATENATE("Total Selling Price (",G13,"/MWh)")</f>
        <v>Total Selling Price ($US/MWh)</v>
      </c>
      <c r="F40" s="66"/>
      <c r="G40" s="23">
        <f>SUM(G37:G38)</f>
        <v>62</v>
      </c>
      <c r="H40" s="85"/>
      <c r="J40" s="82"/>
      <c r="K40" s="83"/>
      <c r="L40" s="120" t="str">
        <f>CONCATENATE("Gross Operating Profit (",G13,"/year)")</f>
        <v>Gross Operating Profit ($US/year)</v>
      </c>
      <c r="N40" s="83"/>
      <c r="O40" s="22">
        <f>O37-O38</f>
        <v>15029840</v>
      </c>
      <c r="P40" s="85"/>
    </row>
    <row r="41" spans="2:16" ht="12.75">
      <c r="B41" s="82"/>
      <c r="C41" s="83"/>
      <c r="D41" s="83"/>
      <c r="E41" s="83"/>
      <c r="F41" s="83"/>
      <c r="G41" s="26"/>
      <c r="H41" s="85"/>
      <c r="J41" s="82"/>
      <c r="K41" s="83"/>
      <c r="P41" s="85"/>
    </row>
    <row r="42" spans="2:16" ht="12.75">
      <c r="B42" s="82"/>
      <c r="C42" s="83"/>
      <c r="D42" s="120" t="s">
        <v>11</v>
      </c>
      <c r="E42" s="83"/>
      <c r="F42" s="83"/>
      <c r="G42" s="20"/>
      <c r="H42" s="85"/>
      <c r="J42" s="82"/>
      <c r="L42" s="65" t="str">
        <f>CONCATENATE("Selling, Administrative and General Expenses (",G13,"/year)")</f>
        <v>Selling, Administrative and General Expenses ($US/year)</v>
      </c>
      <c r="O42" s="115">
        <f>SUM(G107:G112)</f>
        <v>936000</v>
      </c>
      <c r="P42" s="85"/>
    </row>
    <row r="43" spans="2:16" ht="12.75">
      <c r="B43" s="82"/>
      <c r="C43" s="83"/>
      <c r="D43" s="83"/>
      <c r="E43" s="83" t="str">
        <f>CONCATENATE("End of Year One Green Energy Capital Cost Credit (",G13,")")</f>
        <v>End of Year One Green Energy Capital Cost Credit ($US)</v>
      </c>
      <c r="F43" s="83"/>
      <c r="G43" s="10">
        <v>0</v>
      </c>
      <c r="H43" s="99"/>
      <c r="J43" s="82"/>
      <c r="K43" s="83"/>
      <c r="L43" s="83" t="str">
        <f>CONCATENATE("Principal and Interest Payments (",G13,"/year)")</f>
        <v>Principal and Interest Payments ($US/year)</v>
      </c>
      <c r="M43" s="83"/>
      <c r="N43" s="83"/>
      <c r="O43" s="112">
        <f>IF(G118=100,0,IF(G121&lt;&gt;0,IF(G120=0,O31/G121,O31*G120/100*(1+G120/100)^G121/((1+G120/100)^G121-1)),0))</f>
        <v>4100101.7531681745</v>
      </c>
      <c r="P43" s="85"/>
    </row>
    <row r="44" spans="1:16" s="86" customFormat="1" ht="12.75">
      <c r="A44" s="27"/>
      <c r="B44" s="82"/>
      <c r="C44" s="83"/>
      <c r="D44" s="83"/>
      <c r="E44" s="83"/>
      <c r="F44" s="83"/>
      <c r="G44" s="27"/>
      <c r="H44" s="85"/>
      <c r="J44" s="82"/>
      <c r="K44" s="27"/>
      <c r="L44" s="65"/>
      <c r="M44" s="83"/>
      <c r="N44" s="83"/>
      <c r="O44" s="112"/>
      <c r="P44" s="99"/>
    </row>
    <row r="45" spans="1:16" s="86" customFormat="1" ht="12.75">
      <c r="A45" s="27"/>
      <c r="B45" s="89"/>
      <c r="C45" s="90" t="s">
        <v>19</v>
      </c>
      <c r="D45" s="90"/>
      <c r="E45" s="90"/>
      <c r="F45" s="90"/>
      <c r="G45" s="91"/>
      <c r="H45" s="92"/>
      <c r="J45" s="93"/>
      <c r="K45" s="94" t="s">
        <v>5</v>
      </c>
      <c r="L45" s="95"/>
      <c r="M45" s="95"/>
      <c r="N45" s="95"/>
      <c r="O45" s="111"/>
      <c r="P45" s="96"/>
    </row>
    <row r="46" spans="1:16" s="86" customFormat="1" ht="12.75">
      <c r="A46" s="27"/>
      <c r="B46" s="97"/>
      <c r="C46" s="98"/>
      <c r="D46" s="98"/>
      <c r="E46" s="65"/>
      <c r="F46" s="65"/>
      <c r="G46" s="25"/>
      <c r="H46" s="99"/>
      <c r="J46" s="82"/>
      <c r="K46" s="83"/>
      <c r="L46" s="83"/>
      <c r="M46" s="83"/>
      <c r="N46" s="83"/>
      <c r="O46" s="83"/>
      <c r="P46" s="85"/>
    </row>
    <row r="47" spans="2:16" ht="12.75">
      <c r="B47" s="97"/>
      <c r="C47" s="98"/>
      <c r="D47" s="98" t="str">
        <f>CONCATENATE("Site Cost ","(",G13,")")</f>
        <v>Site Cost ($US)</v>
      </c>
      <c r="E47" s="65"/>
      <c r="F47" s="65"/>
      <c r="G47" s="25"/>
      <c r="H47" s="99"/>
      <c r="J47" s="82"/>
      <c r="K47" s="83"/>
      <c r="L47" s="27" t="s">
        <v>14</v>
      </c>
      <c r="O47" s="116">
        <f>G22*G23</f>
        <v>100</v>
      </c>
      <c r="P47" s="85"/>
    </row>
    <row r="48" spans="2:16" ht="12.75">
      <c r="B48" s="97"/>
      <c r="C48" s="98"/>
      <c r="D48" s="98"/>
      <c r="E48" s="65" t="s">
        <v>93</v>
      </c>
      <c r="F48" s="65"/>
      <c r="G48" s="10">
        <v>1000000</v>
      </c>
      <c r="H48" s="99"/>
      <c r="J48" s="82"/>
      <c r="K48" s="83"/>
      <c r="L48" s="27" t="s">
        <v>17</v>
      </c>
      <c r="O48" s="113">
        <f>G22*G23*24*365</f>
        <v>876000</v>
      </c>
      <c r="P48" s="85"/>
    </row>
    <row r="49" spans="2:16" ht="12.75">
      <c r="B49" s="82"/>
      <c r="C49" s="83"/>
      <c r="D49" s="83"/>
      <c r="E49" s="83" t="s">
        <v>94</v>
      </c>
      <c r="F49" s="83"/>
      <c r="G49" s="10">
        <v>200000</v>
      </c>
      <c r="H49" s="85"/>
      <c r="J49" s="82"/>
      <c r="K49" s="83"/>
      <c r="L49" s="83" t="s">
        <v>224</v>
      </c>
      <c r="M49" s="83"/>
      <c r="N49" s="83"/>
      <c r="O49" s="113">
        <f>G24/100*O48</f>
        <v>280320</v>
      </c>
      <c r="P49" s="85"/>
    </row>
    <row r="50" spans="2:16" ht="12.75">
      <c r="B50" s="82"/>
      <c r="C50" s="83"/>
      <c r="D50" s="83"/>
      <c r="E50" s="83" t="s">
        <v>95</v>
      </c>
      <c r="F50" s="83"/>
      <c r="G50" s="10">
        <v>80000</v>
      </c>
      <c r="H50" s="85"/>
      <c r="J50" s="82"/>
      <c r="K50" s="83"/>
      <c r="L50" s="83"/>
      <c r="M50" s="83"/>
      <c r="N50" s="83"/>
      <c r="O50" s="83"/>
      <c r="P50" s="85"/>
    </row>
    <row r="51" spans="2:16" ht="12.75">
      <c r="B51" s="82"/>
      <c r="C51" s="83"/>
      <c r="D51" s="83"/>
      <c r="E51" s="83" t="s">
        <v>96</v>
      </c>
      <c r="F51" s="83"/>
      <c r="G51" s="10">
        <v>2000000</v>
      </c>
      <c r="H51" s="85"/>
      <c r="J51" s="82"/>
      <c r="K51" s="83"/>
      <c r="L51" s="83" t="str">
        <f>CONCATENATE("Capital Cost per Annual MWh (",G13,"/MWh)")</f>
        <v>Capital Cost per Annual MWh ($US/MWh)</v>
      </c>
      <c r="M51" s="83"/>
      <c r="N51" s="83"/>
      <c r="O51" s="112">
        <f>O26/((O49*((G26-3)+(G30+G31+G32)/100))/G26)</f>
        <v>322.10421404281226</v>
      </c>
      <c r="P51" s="85"/>
    </row>
    <row r="52" spans="2:16" ht="12.75">
      <c r="B52" s="82"/>
      <c r="C52" s="83"/>
      <c r="D52" s="83"/>
      <c r="E52" s="83" t="s">
        <v>97</v>
      </c>
      <c r="F52" s="83"/>
      <c r="G52" s="10">
        <v>200000</v>
      </c>
      <c r="H52" s="85"/>
      <c r="J52" s="82"/>
      <c r="K52" s="83"/>
      <c r="L52" s="83" t="str">
        <f>CONCATENATE("Capital Cost per Nameplate Rated MW (",$G$13,"/MW)")</f>
        <v>Capital Cost per Nameplate Rated MW ($US/MW)</v>
      </c>
      <c r="M52" s="83"/>
      <c r="N52" s="83"/>
      <c r="O52" s="101">
        <f>O26/(G22*G23)</f>
        <v>895699.1525423728</v>
      </c>
      <c r="P52" s="85"/>
    </row>
    <row r="53" spans="2:16" ht="12.75">
      <c r="B53" s="82"/>
      <c r="C53" s="83"/>
      <c r="D53" s="83"/>
      <c r="E53" s="83" t="s">
        <v>98</v>
      </c>
      <c r="F53" s="83"/>
      <c r="G53" s="10">
        <v>2000000</v>
      </c>
      <c r="H53" s="85"/>
      <c r="J53" s="117"/>
      <c r="K53" s="83"/>
      <c r="L53" s="65" t="str">
        <f>CONCATENATE("Capital Cost per Effective MW (",$G$13,"/MW)")</f>
        <v>Capital Cost per Effective MW ($US/MW)</v>
      </c>
      <c r="M53" s="83"/>
      <c r="N53" s="83"/>
      <c r="O53" s="113">
        <f>O52/(G24/100)</f>
        <v>2799059.851694915</v>
      </c>
      <c r="P53" s="85"/>
    </row>
    <row r="54" spans="2:16" ht="12.75">
      <c r="B54" s="82"/>
      <c r="C54" s="83"/>
      <c r="D54" s="83"/>
      <c r="E54" s="83" t="s">
        <v>99</v>
      </c>
      <c r="F54" s="83"/>
      <c r="G54" s="10">
        <v>1750000</v>
      </c>
      <c r="H54" s="85"/>
      <c r="J54" s="82"/>
      <c r="K54" s="83"/>
      <c r="L54" s="83"/>
      <c r="M54" s="83"/>
      <c r="N54" s="83"/>
      <c r="O54" s="83"/>
      <c r="P54" s="85"/>
    </row>
    <row r="55" spans="2:16" ht="12.75">
      <c r="B55" s="82"/>
      <c r="C55" s="83"/>
      <c r="D55" s="83"/>
      <c r="E55" s="83" t="s">
        <v>100</v>
      </c>
      <c r="F55" s="83"/>
      <c r="G55" s="10">
        <v>2000000</v>
      </c>
      <c r="H55" s="85"/>
      <c r="J55" s="82"/>
      <c r="K55" s="83"/>
      <c r="L55" s="83" t="str">
        <f>CONCATENATE("O&amp;M and SAGE per Expected MWh (Yr 1) (",G13,"/MWh)")</f>
        <v>O&amp;M and SAGE per Expected MWh (Yr 1) ($US/MWh)</v>
      </c>
      <c r="M55" s="83"/>
      <c r="N55" s="83"/>
      <c r="O55" s="102">
        <f>(O38+O42)/(O49*G30/100)</f>
        <v>13.790961590115499</v>
      </c>
      <c r="P55" s="85"/>
    </row>
    <row r="56" spans="2:16" ht="12.75">
      <c r="B56" s="82"/>
      <c r="C56" s="83"/>
      <c r="D56" s="83"/>
      <c r="E56" s="83" t="s">
        <v>101</v>
      </c>
      <c r="F56" s="83"/>
      <c r="G56" s="10">
        <v>500000</v>
      </c>
      <c r="H56" s="85"/>
      <c r="J56" s="82"/>
      <c r="K56" s="83"/>
      <c r="L56" s="83" t="str">
        <f>CONCATENATE("O&amp;M and SAGE per Nameplate MW (Yr 1) (",G13,"/MW)")</f>
        <v>O&amp;M and SAGE per Nameplate MW (Yr 1) ($US/MW)</v>
      </c>
      <c r="M56" s="83"/>
      <c r="N56" s="83"/>
      <c r="O56" s="112">
        <f>(O38+O42)/(G22*G23)</f>
        <v>32860</v>
      </c>
      <c r="P56" s="85"/>
    </row>
    <row r="57" spans="2:16" ht="12.75">
      <c r="B57" s="82"/>
      <c r="C57" s="83"/>
      <c r="D57" s="83"/>
      <c r="E57" s="65" t="s">
        <v>200</v>
      </c>
      <c r="F57" s="83"/>
      <c r="G57" s="10">
        <v>0</v>
      </c>
      <c r="H57" s="85"/>
      <c r="J57" s="82"/>
      <c r="K57" s="83"/>
      <c r="L57" s="83"/>
      <c r="M57" s="83"/>
      <c r="N57" s="83"/>
      <c r="O57" s="83"/>
      <c r="P57" s="85"/>
    </row>
    <row r="58" spans="2:16" ht="13.5" thickBot="1">
      <c r="B58" s="82"/>
      <c r="C58" s="83"/>
      <c r="D58" s="83"/>
      <c r="E58" s="83"/>
      <c r="F58" s="83"/>
      <c r="G58" s="20"/>
      <c r="H58" s="85"/>
      <c r="J58" s="117"/>
      <c r="K58" s="83"/>
      <c r="L58" s="65" t="str">
        <f>CONCATENATE(G26," year Nominal Capital Cost per MWh (",G13,"/MWh)")</f>
        <v>25 year Nominal Capital Cost per MWh ($US/MWh)</v>
      </c>
      <c r="M58" s="83"/>
      <c r="N58" s="83"/>
      <c r="O58" s="118">
        <f>O26/(O49*((G26-3)+(G30+G31+G32)/100))</f>
        <v>12.88416856171249</v>
      </c>
      <c r="P58" s="85"/>
    </row>
    <row r="59" spans="2:16" ht="12.75">
      <c r="B59" s="82"/>
      <c r="C59" s="83"/>
      <c r="D59" s="83"/>
      <c r="E59" s="66" t="str">
        <f>CONCATENATE("Total Site Capital Cost (",G13,")")</f>
        <v>Total Site Capital Cost ($US)</v>
      </c>
      <c r="F59" s="66"/>
      <c r="G59" s="22">
        <f>SUM(G48:G57)</f>
        <v>9730000</v>
      </c>
      <c r="H59" s="85"/>
      <c r="J59" s="117"/>
      <c r="K59" s="83"/>
      <c r="L59" s="65" t="str">
        <f>CONCATENATE(G26," year Nominal O&amp;M and SAGE per MWh (",G13,"/MWh)")</f>
        <v>25 year Nominal O&amp;M and SAGE per MWh ($US/MWh)</v>
      </c>
      <c r="M59" s="83"/>
      <c r="N59" s="83"/>
      <c r="O59" s="119">
        <f>-('Cash Flow'!DG7+'Cash Flow'!DG8)/(O49*(G26-3+(G30+G31+G32)/100))</f>
        <v>15.571427137786527</v>
      </c>
      <c r="P59" s="85"/>
    </row>
    <row r="60" spans="2:16" ht="13.5" thickBot="1">
      <c r="B60" s="82"/>
      <c r="C60" s="83"/>
      <c r="D60" s="83"/>
      <c r="E60" s="66"/>
      <c r="F60" s="66"/>
      <c r="G60" s="21"/>
      <c r="H60" s="85"/>
      <c r="J60" s="117"/>
      <c r="K60" s="83"/>
      <c r="L60" s="65"/>
      <c r="M60" s="83"/>
      <c r="N60" s="83"/>
      <c r="O60" s="119"/>
      <c r="P60" s="85"/>
    </row>
    <row r="61" spans="2:16" ht="12.75">
      <c r="B61" s="82"/>
      <c r="C61" s="83"/>
      <c r="D61" s="120" t="str">
        <f>CONCATENATE("Per Wind Turbine Cost (",G13,")")</f>
        <v>Per Wind Turbine Cost ($US)</v>
      </c>
      <c r="E61" s="83"/>
      <c r="F61" s="83"/>
      <c r="G61" s="20"/>
      <c r="H61" s="85"/>
      <c r="J61" s="117"/>
      <c r="K61" s="83"/>
      <c r="L61" s="98" t="str">
        <f>CONCATENATE(G26," year Nominal Total Cost per MWh (",G13,"/MWh)")</f>
        <v>25 year Nominal Total Cost per MWh ($US/MWh)</v>
      </c>
      <c r="M61" s="83"/>
      <c r="N61" s="83"/>
      <c r="O61" s="23">
        <f>O58+O59</f>
        <v>28.455595699499018</v>
      </c>
      <c r="P61" s="85"/>
    </row>
    <row r="62" spans="2:16" ht="12.75">
      <c r="B62" s="82"/>
      <c r="C62" s="83"/>
      <c r="D62" s="83"/>
      <c r="E62" s="83" t="s">
        <v>102</v>
      </c>
      <c r="F62" s="83"/>
      <c r="G62" s="10">
        <v>75000</v>
      </c>
      <c r="H62" s="85"/>
      <c r="J62" s="117"/>
      <c r="K62" s="83"/>
      <c r="L62" s="83"/>
      <c r="M62" s="83"/>
      <c r="N62" s="83"/>
      <c r="O62" s="119"/>
      <c r="P62" s="99"/>
    </row>
    <row r="63" spans="2:16" ht="12.75">
      <c r="B63" s="82"/>
      <c r="C63" s="83"/>
      <c r="D63" s="83"/>
      <c r="E63" s="83" t="s">
        <v>233</v>
      </c>
      <c r="F63" s="83"/>
      <c r="G63" s="10">
        <v>60000</v>
      </c>
      <c r="H63" s="85"/>
      <c r="J63" s="93"/>
      <c r="K63" s="94" t="s">
        <v>12</v>
      </c>
      <c r="L63" s="95"/>
      <c r="M63" s="95"/>
      <c r="N63" s="95"/>
      <c r="O63" s="111"/>
      <c r="P63" s="96"/>
    </row>
    <row r="64" spans="2:16" ht="12.75">
      <c r="B64" s="82"/>
      <c r="C64" s="83"/>
      <c r="D64" s="83"/>
      <c r="E64" s="83" t="s">
        <v>103</v>
      </c>
      <c r="F64" s="83"/>
      <c r="G64" s="10">
        <v>150000</v>
      </c>
      <c r="H64" s="85"/>
      <c r="J64" s="117"/>
      <c r="K64" s="83"/>
      <c r="L64" s="83"/>
      <c r="M64" s="83"/>
      <c r="N64" s="83"/>
      <c r="O64" s="119"/>
      <c r="P64" s="85"/>
    </row>
    <row r="65" spans="2:16" ht="12.75">
      <c r="B65" s="82"/>
      <c r="C65" s="83"/>
      <c r="D65" s="83"/>
      <c r="E65" s="83" t="s">
        <v>104</v>
      </c>
      <c r="F65" s="83"/>
      <c r="G65" s="10">
        <v>1400000</v>
      </c>
      <c r="H65" s="85"/>
      <c r="J65" s="117"/>
      <c r="K65" s="83"/>
      <c r="L65" s="65" t="str">
        <f>CONCATENATE("Cash Flow to Total Debt (minimum over ",$G$26," years)")</f>
        <v>Cash Flow to Total Debt (minimum over 25 years)</v>
      </c>
      <c r="M65" s="83"/>
      <c r="N65" s="83"/>
      <c r="O65" s="175">
        <f>IF('Cash Flow'!DG57=0,"N/A ",'Cash Flow'!DG57)</f>
        <v>0.2217751931676743</v>
      </c>
      <c r="P65" s="85"/>
    </row>
    <row r="66" spans="2:16" ht="12.75">
      <c r="B66" s="82"/>
      <c r="C66" s="83"/>
      <c r="D66" s="83"/>
      <c r="E66" s="65" t="s">
        <v>105</v>
      </c>
      <c r="F66" s="65"/>
      <c r="G66" s="10">
        <v>100000</v>
      </c>
      <c r="H66" s="85"/>
      <c r="J66" s="117"/>
      <c r="K66" s="83"/>
      <c r="L66" s="65" t="str">
        <f>CONCATENATE("Operating Profit Margin (minimum over ",$G$26," years)")</f>
        <v>Operating Profit Margin (minimum over 25 years)</v>
      </c>
      <c r="M66" s="83"/>
      <c r="N66" s="83"/>
      <c r="O66" s="121">
        <f>'Cash Flow'!DG58</f>
        <v>0.7604959086901291</v>
      </c>
      <c r="P66" s="85"/>
    </row>
    <row r="67" spans="2:16" ht="12.75">
      <c r="B67" s="82"/>
      <c r="C67" s="83"/>
      <c r="D67" s="83"/>
      <c r="E67" s="83" t="s">
        <v>106</v>
      </c>
      <c r="F67" s="83"/>
      <c r="G67" s="10">
        <v>60000</v>
      </c>
      <c r="H67" s="85"/>
      <c r="J67" s="117"/>
      <c r="K67" s="83"/>
      <c r="L67" s="65" t="str">
        <f>CONCATENATE("Debt to Equity (maximum over ",$G$26," years)")</f>
        <v>Debt to Equity (maximum over 25 years)</v>
      </c>
      <c r="O67" s="121">
        <f>'Cash Flow'!DG59</f>
        <v>0.6490585484856256</v>
      </c>
      <c r="P67" s="85"/>
    </row>
    <row r="68" spans="2:16" ht="12.75">
      <c r="B68" s="82"/>
      <c r="C68" s="83"/>
      <c r="D68" s="83"/>
      <c r="E68" s="83" t="s">
        <v>107</v>
      </c>
      <c r="F68" s="83"/>
      <c r="G68" s="10">
        <v>20000</v>
      </c>
      <c r="H68" s="85"/>
      <c r="J68" s="117"/>
      <c r="K68" s="83"/>
      <c r="L68" s="65" t="str">
        <f>CONCATENATE("Net Return on Invested Capital (average over ",$G$26," years)")</f>
        <v>Net Return on Invested Capital (average over 25 years)</v>
      </c>
      <c r="O68" s="121">
        <f>'Cash Flow'!DG61</f>
        <v>0.04872727877482703</v>
      </c>
      <c r="P68" s="85"/>
    </row>
    <row r="69" spans="2:16" ht="12.75">
      <c r="B69" s="82"/>
      <c r="C69" s="83"/>
      <c r="D69" s="83"/>
      <c r="E69" s="65" t="s">
        <v>200</v>
      </c>
      <c r="F69" s="83"/>
      <c r="G69" s="10">
        <v>0</v>
      </c>
      <c r="H69" s="85"/>
      <c r="J69" s="117"/>
      <c r="K69" s="83"/>
      <c r="L69" s="65" t="str">
        <f>CONCATENATE("Net Return on Common Equity (average over ",$G$26," years)")</f>
        <v>Net Return on Common Equity (average over 25 years)</v>
      </c>
      <c r="M69" s="83"/>
      <c r="N69" s="83"/>
      <c r="O69" s="121">
        <f>'Cash Flow'!DG62</f>
        <v>0.05712421643270549</v>
      </c>
      <c r="P69" s="85"/>
    </row>
    <row r="70" spans="2:16" ht="13.5" thickBot="1">
      <c r="B70" s="82"/>
      <c r="C70" s="83"/>
      <c r="D70" s="83"/>
      <c r="E70" s="83"/>
      <c r="F70" s="83"/>
      <c r="G70" s="20"/>
      <c r="H70" s="85"/>
      <c r="J70" s="117"/>
      <c r="K70" s="83"/>
      <c r="P70" s="85"/>
    </row>
    <row r="71" spans="2:16" ht="12.75">
      <c r="B71" s="82"/>
      <c r="C71" s="83"/>
      <c r="D71" s="83"/>
      <c r="E71" s="66" t="str">
        <f>CONCATENATE("Total Per Wind Turbine Capital Cost (",G13,")")</f>
        <v>Total Per Wind Turbine Capital Cost ($US)</v>
      </c>
      <c r="F71" s="66"/>
      <c r="G71" s="22">
        <f>SUM(G62:G69)</f>
        <v>1865000</v>
      </c>
      <c r="H71" s="85"/>
      <c r="J71" s="93"/>
      <c r="K71" s="94" t="s">
        <v>147</v>
      </c>
      <c r="L71" s="95"/>
      <c r="M71" s="95"/>
      <c r="N71" s="95"/>
      <c r="O71" s="111"/>
      <c r="P71" s="96"/>
    </row>
    <row r="72" spans="2:16" ht="12.75">
      <c r="B72" s="82"/>
      <c r="C72" s="83"/>
      <c r="D72" s="83"/>
      <c r="E72" s="66"/>
      <c r="F72" s="66"/>
      <c r="G72" s="21"/>
      <c r="H72" s="85"/>
      <c r="J72" s="117"/>
      <c r="K72" s="83"/>
      <c r="L72" s="83"/>
      <c r="M72" s="83"/>
      <c r="N72" s="83"/>
      <c r="O72" s="119"/>
      <c r="P72" s="85"/>
    </row>
    <row r="73" spans="2:16" ht="12.75">
      <c r="B73" s="82"/>
      <c r="C73" s="83"/>
      <c r="D73" s="120" t="s">
        <v>25</v>
      </c>
      <c r="H73" s="85"/>
      <c r="J73" s="117"/>
      <c r="K73" s="83"/>
      <c r="L73" s="83" t="str">
        <f>CONCATENATE("IPO Price (",$G$13," per share)")</f>
        <v>IPO Price ($US per share)</v>
      </c>
      <c r="M73" s="83"/>
      <c r="N73" s="83"/>
      <c r="O73" s="102">
        <f>ROUNDUP(O30/G10,2)</f>
        <v>2.8099999999999996</v>
      </c>
      <c r="P73" s="85"/>
    </row>
    <row r="74" spans="2:16" ht="12.75">
      <c r="B74" s="82"/>
      <c r="C74" s="83"/>
      <c r="D74" s="83"/>
      <c r="E74" s="27" t="s">
        <v>137</v>
      </c>
      <c r="G74" s="17">
        <v>8</v>
      </c>
      <c r="H74" s="85"/>
      <c r="J74" s="117"/>
      <c r="K74" s="83"/>
      <c r="L74" s="83" t="str">
        <f>CONCATENATE("Expected Market Price following IPO (",$G$13," per share)")</f>
        <v>Expected Market Price following IPO ($US per share)</v>
      </c>
      <c r="O74" s="102">
        <f>ROUND(Valuation!J65,2)</f>
        <v>3.93</v>
      </c>
      <c r="P74" s="85"/>
    </row>
    <row r="75" spans="2:16" ht="12.75">
      <c r="B75" s="82"/>
      <c r="C75" s="83"/>
      <c r="D75" s="83"/>
      <c r="E75" s="27" t="s">
        <v>138</v>
      </c>
      <c r="G75" s="17">
        <v>2</v>
      </c>
      <c r="H75" s="85"/>
      <c r="J75" s="117"/>
      <c r="K75" s="83"/>
      <c r="L75" s="83"/>
      <c r="M75" s="83"/>
      <c r="N75" s="83"/>
      <c r="O75" s="119"/>
      <c r="P75" s="85"/>
    </row>
    <row r="76" spans="2:16" ht="13.5" thickBot="1">
      <c r="B76" s="103"/>
      <c r="C76" s="104"/>
      <c r="D76" s="104"/>
      <c r="E76" s="104"/>
      <c r="F76" s="104"/>
      <c r="G76" s="122"/>
      <c r="H76" s="123"/>
      <c r="J76" s="189"/>
      <c r="K76" s="104"/>
      <c r="L76" s="190"/>
      <c r="M76" s="104"/>
      <c r="N76" s="104"/>
      <c r="O76" s="191"/>
      <c r="P76" s="105"/>
    </row>
    <row r="77" spans="10:16" ht="12.75">
      <c r="J77" s="107"/>
      <c r="K77" s="107"/>
      <c r="L77" s="107"/>
      <c r="M77" s="107"/>
      <c r="N77" s="107"/>
      <c r="O77" s="107"/>
      <c r="P77" s="107"/>
    </row>
    <row r="78" spans="10:16" ht="12.75">
      <c r="J78" s="113"/>
      <c r="K78" s="83"/>
      <c r="L78" s="83"/>
      <c r="M78" s="83"/>
      <c r="N78" s="83"/>
      <c r="O78" s="83"/>
      <c r="P78" s="83"/>
    </row>
    <row r="79" spans="2:8" ht="12.75">
      <c r="B79" s="83"/>
      <c r="C79" s="83"/>
      <c r="D79" s="83"/>
      <c r="E79" s="83"/>
      <c r="F79" s="83"/>
      <c r="G79" s="20"/>
      <c r="H79" s="113"/>
    </row>
    <row r="80" spans="2:16" ht="13.5" thickBot="1">
      <c r="B80" s="66" t="s">
        <v>254</v>
      </c>
      <c r="H80" s="67" t="s">
        <v>91</v>
      </c>
      <c r="J80" s="66" t="s">
        <v>255</v>
      </c>
      <c r="P80" s="67" t="s">
        <v>91</v>
      </c>
    </row>
    <row r="81" spans="2:16" ht="12.75">
      <c r="B81" s="68"/>
      <c r="C81" s="69"/>
      <c r="D81" s="69"/>
      <c r="E81" s="69"/>
      <c r="F81" s="69"/>
      <c r="G81" s="69"/>
      <c r="H81" s="70"/>
      <c r="J81" s="68"/>
      <c r="K81" s="69"/>
      <c r="L81" s="69"/>
      <c r="M81" s="69"/>
      <c r="N81" s="69"/>
      <c r="O81" s="69"/>
      <c r="P81" s="70"/>
    </row>
    <row r="82" spans="2:16" ht="13.5" thickBot="1">
      <c r="B82" s="74" t="s">
        <v>116</v>
      </c>
      <c r="C82" s="75"/>
      <c r="D82" s="75"/>
      <c r="E82" s="75"/>
      <c r="F82" s="75"/>
      <c r="G82" s="76"/>
      <c r="H82" s="77"/>
      <c r="J82" s="74" t="s">
        <v>117</v>
      </c>
      <c r="K82" s="75"/>
      <c r="L82" s="75"/>
      <c r="M82" s="75"/>
      <c r="N82" s="76"/>
      <c r="O82" s="76"/>
      <c r="P82" s="124"/>
    </row>
    <row r="83" spans="2:16" ht="12.75">
      <c r="B83" s="82"/>
      <c r="C83" s="83"/>
      <c r="D83" s="83"/>
      <c r="E83" s="83"/>
      <c r="F83" s="83"/>
      <c r="G83" s="28"/>
      <c r="H83" s="114"/>
      <c r="J83" s="82"/>
      <c r="K83" s="83"/>
      <c r="L83" s="83"/>
      <c r="M83" s="83"/>
      <c r="N83" s="83"/>
      <c r="O83" s="83"/>
      <c r="P83" s="85"/>
    </row>
    <row r="84" spans="2:16" ht="12.75">
      <c r="B84" s="89"/>
      <c r="C84" s="90" t="s">
        <v>110</v>
      </c>
      <c r="D84" s="90"/>
      <c r="E84" s="90"/>
      <c r="F84" s="90"/>
      <c r="G84" s="91"/>
      <c r="H84" s="92"/>
      <c r="J84" s="89"/>
      <c r="K84" s="90" t="s">
        <v>111</v>
      </c>
      <c r="L84" s="90"/>
      <c r="M84" s="90"/>
      <c r="N84" s="91"/>
      <c r="O84" s="91"/>
      <c r="P84" s="92"/>
    </row>
    <row r="85" spans="2:16" ht="12.75">
      <c r="B85" s="97"/>
      <c r="C85" s="98"/>
      <c r="D85" s="98"/>
      <c r="E85" s="65"/>
      <c r="F85" s="65"/>
      <c r="G85" s="25"/>
      <c r="H85" s="99"/>
      <c r="J85" s="97"/>
      <c r="K85" s="98"/>
      <c r="L85" s="98"/>
      <c r="M85" s="65"/>
      <c r="N85" s="25"/>
      <c r="O85" s="65"/>
      <c r="P85" s="85"/>
    </row>
    <row r="86" spans="2:16" ht="12.75">
      <c r="B86" s="97"/>
      <c r="C86" s="98"/>
      <c r="D86" s="98" t="s">
        <v>220</v>
      </c>
      <c r="E86" s="65"/>
      <c r="F86" s="65"/>
      <c r="G86" s="25"/>
      <c r="H86" s="99"/>
      <c r="J86" s="97"/>
      <c r="K86" s="98" t="s">
        <v>30</v>
      </c>
      <c r="L86" s="65"/>
      <c r="M86" s="83"/>
      <c r="N86" s="83"/>
      <c r="O86" s="25"/>
      <c r="P86" s="85"/>
    </row>
    <row r="87" spans="2:16" ht="12.75">
      <c r="B87" s="97"/>
      <c r="C87" s="98"/>
      <c r="D87" s="98"/>
      <c r="E87" s="65"/>
      <c r="F87" s="65"/>
      <c r="G87" s="25"/>
      <c r="H87" s="99"/>
      <c r="J87" s="82"/>
      <c r="K87" s="83"/>
      <c r="L87" s="83" t="s">
        <v>29</v>
      </c>
      <c r="M87" s="83"/>
      <c r="N87" s="83"/>
      <c r="O87" s="11">
        <v>20</v>
      </c>
      <c r="P87" s="85"/>
    </row>
    <row r="88" spans="2:16" ht="12.75">
      <c r="B88" s="97"/>
      <c r="C88" s="98"/>
      <c r="D88" s="98" t="s">
        <v>221</v>
      </c>
      <c r="E88" s="65"/>
      <c r="F88" s="65"/>
      <c r="G88" s="25"/>
      <c r="H88" s="99"/>
      <c r="I88" s="113"/>
      <c r="J88" s="82"/>
      <c r="K88" s="83"/>
      <c r="L88" s="83"/>
      <c r="M88" s="83"/>
      <c r="N88" s="83"/>
      <c r="O88" s="24"/>
      <c r="P88" s="85"/>
    </row>
    <row r="89" spans="2:16" ht="12.75">
      <c r="B89" s="82"/>
      <c r="C89" s="83"/>
      <c r="D89" s="83"/>
      <c r="E89" s="83" t="str">
        <f>CONCATENATE("Land Leasing/Maintenance Expenses (",G13,"/year)")</f>
        <v>Land Leasing/Maintenance Expenses ($US/year)</v>
      </c>
      <c r="F89" s="83"/>
      <c r="G89" s="10">
        <v>50000</v>
      </c>
      <c r="H89" s="114"/>
      <c r="I89" s="113"/>
      <c r="J89" s="82"/>
      <c r="K89" s="98" t="s">
        <v>218</v>
      </c>
      <c r="L89" s="83"/>
      <c r="M89" s="83"/>
      <c r="N89" s="83"/>
      <c r="O89" s="24"/>
      <c r="P89" s="85"/>
    </row>
    <row r="90" spans="2:16" ht="12.75">
      <c r="B90" s="82"/>
      <c r="C90" s="83"/>
      <c r="D90" s="83"/>
      <c r="E90" s="83" t="str">
        <f>CONCATENATE("Property Taxes (",G13,"/year)")</f>
        <v>Property Taxes ($US/year)</v>
      </c>
      <c r="F90" s="83"/>
      <c r="G90" s="10">
        <v>250000</v>
      </c>
      <c r="H90" s="114"/>
      <c r="I90" s="113"/>
      <c r="J90" s="82"/>
      <c r="K90" s="83"/>
      <c r="L90" s="83" t="s">
        <v>31</v>
      </c>
      <c r="M90" s="83"/>
      <c r="N90" s="83"/>
      <c r="O90" s="33">
        <v>25</v>
      </c>
      <c r="P90" s="85"/>
    </row>
    <row r="91" spans="2:16" ht="12.75">
      <c r="B91" s="82"/>
      <c r="C91" s="83"/>
      <c r="D91" s="83"/>
      <c r="E91" s="83" t="str">
        <f>CONCATENATE("Site Manager Salary (",G13,"/year)")</f>
        <v>Site Manager Salary ($US/year)</v>
      </c>
      <c r="F91" s="83"/>
      <c r="G91" s="10">
        <v>125000</v>
      </c>
      <c r="H91" s="114"/>
      <c r="I91" s="113"/>
      <c r="J91" s="82"/>
      <c r="K91" s="83"/>
      <c r="L91" s="83" t="s">
        <v>32</v>
      </c>
      <c r="M91" s="83"/>
      <c r="N91" s="83"/>
      <c r="O91" s="33">
        <v>50</v>
      </c>
      <c r="P91" s="85"/>
    </row>
    <row r="92" spans="2:16" ht="12.75">
      <c r="B92" s="82"/>
      <c r="C92" s="83"/>
      <c r="D92" s="83"/>
      <c r="E92" s="27" t="str">
        <f>CONCATENATE("Transformer Maintenance and Repairs (",G13,"/year)")</f>
        <v>Transformer Maintenance and Repairs ($US/year)</v>
      </c>
      <c r="G92" s="10">
        <v>125000</v>
      </c>
      <c r="H92" s="114"/>
      <c r="I92" s="113"/>
      <c r="J92" s="82"/>
      <c r="K92" s="83"/>
      <c r="L92" s="83" t="s">
        <v>33</v>
      </c>
      <c r="M92" s="83"/>
      <c r="N92" s="83"/>
      <c r="O92" s="33">
        <v>25</v>
      </c>
      <c r="P92" s="85"/>
    </row>
    <row r="93" spans="2:16" ht="12.75">
      <c r="B93" s="82"/>
      <c r="C93" s="83"/>
      <c r="D93" s="83"/>
      <c r="E93" s="83" t="str">
        <f>CONCATENATE("Other (",$G$13,"/year)")</f>
        <v>Other ($US/year)</v>
      </c>
      <c r="F93" s="83"/>
      <c r="G93" s="10">
        <v>0</v>
      </c>
      <c r="H93" s="114"/>
      <c r="I93" s="113"/>
      <c r="J93" s="82"/>
      <c r="K93" s="83"/>
      <c r="L93" s="83" t="s">
        <v>34</v>
      </c>
      <c r="M93" s="83"/>
      <c r="N93" s="83"/>
      <c r="O93" s="33">
        <v>0</v>
      </c>
      <c r="P93" s="85"/>
    </row>
    <row r="94" spans="2:16" ht="13.5" thickBot="1">
      <c r="B94" s="82"/>
      <c r="C94" s="83"/>
      <c r="D94" s="83"/>
      <c r="G94" s="20"/>
      <c r="H94" s="114"/>
      <c r="I94" s="113"/>
      <c r="J94" s="82"/>
      <c r="K94" s="83"/>
      <c r="L94" s="83" t="s">
        <v>35</v>
      </c>
      <c r="M94" s="83"/>
      <c r="N94" s="83"/>
      <c r="O94" s="33">
        <v>0</v>
      </c>
      <c r="P94" s="85"/>
    </row>
    <row r="95" spans="2:16" ht="12.75">
      <c r="B95" s="82"/>
      <c r="C95" s="83"/>
      <c r="D95" s="83"/>
      <c r="E95" s="66" t="str">
        <f>CONCATENATE("Total Site Annual O&amp;M Expenses (",G13,"/year)")</f>
        <v>Total Site Annual O&amp;M Expenses ($US/year)</v>
      </c>
      <c r="F95" s="66"/>
      <c r="G95" s="22">
        <f>SUM(G89:G93)</f>
        <v>550000</v>
      </c>
      <c r="H95" s="114"/>
      <c r="I95" s="113"/>
      <c r="J95" s="82"/>
      <c r="K95" s="83"/>
      <c r="L95" s="83" t="s">
        <v>36</v>
      </c>
      <c r="M95" s="83"/>
      <c r="N95" s="83"/>
      <c r="O95" s="33">
        <v>0</v>
      </c>
      <c r="P95" s="85"/>
    </row>
    <row r="96" spans="2:16" ht="12.75">
      <c r="B96" s="82"/>
      <c r="C96" s="83"/>
      <c r="D96" s="83"/>
      <c r="G96" s="20"/>
      <c r="H96" s="114"/>
      <c r="I96" s="113"/>
      <c r="J96" s="82"/>
      <c r="K96" s="83"/>
      <c r="L96" s="83" t="s">
        <v>37</v>
      </c>
      <c r="M96" s="83"/>
      <c r="N96" s="83"/>
      <c r="O96" s="33">
        <v>0</v>
      </c>
      <c r="P96" s="85"/>
    </row>
    <row r="97" spans="2:16" ht="12.75">
      <c r="B97" s="82"/>
      <c r="C97" s="83"/>
      <c r="D97" s="120" t="s">
        <v>222</v>
      </c>
      <c r="E97" s="83"/>
      <c r="F97" s="83"/>
      <c r="G97" s="20"/>
      <c r="H97" s="114"/>
      <c r="I97" s="113"/>
      <c r="J97" s="82"/>
      <c r="K97" s="83"/>
      <c r="L97" s="83" t="s">
        <v>38</v>
      </c>
      <c r="M97" s="83"/>
      <c r="N97" s="83"/>
      <c r="O97" s="33">
        <v>0</v>
      </c>
      <c r="P97" s="85"/>
    </row>
    <row r="98" spans="2:16" ht="12.75">
      <c r="B98" s="82"/>
      <c r="C98" s="83"/>
      <c r="D98" s="83"/>
      <c r="E98" s="83" t="str">
        <f>CONCATENATE("Inspections (",G13,"/year)")</f>
        <v>Inspections ($US/year)</v>
      </c>
      <c r="F98" s="83"/>
      <c r="G98" s="10">
        <v>6000</v>
      </c>
      <c r="H98" s="114"/>
      <c r="I98" s="113"/>
      <c r="J98" s="82"/>
      <c r="K98" s="83"/>
      <c r="L98" s="83" t="s">
        <v>39</v>
      </c>
      <c r="M98" s="83"/>
      <c r="N98" s="83"/>
      <c r="O98" s="33">
        <v>0</v>
      </c>
      <c r="P98" s="85"/>
    </row>
    <row r="99" spans="2:16" ht="12.75">
      <c r="B99" s="82"/>
      <c r="C99" s="83"/>
      <c r="D99" s="83"/>
      <c r="E99" s="83" t="str">
        <f>CONCATENATE("Cleaning (",G13,"/year)")</f>
        <v>Cleaning ($US/year)</v>
      </c>
      <c r="F99" s="83"/>
      <c r="G99" s="10">
        <v>4000</v>
      </c>
      <c r="H99" s="114"/>
      <c r="I99" s="113"/>
      <c r="J99" s="82"/>
      <c r="K99" s="83"/>
      <c r="L99" s="83" t="s">
        <v>40</v>
      </c>
      <c r="M99" s="83"/>
      <c r="N99" s="83"/>
      <c r="O99" s="33">
        <v>0</v>
      </c>
      <c r="P99" s="85"/>
    </row>
    <row r="100" spans="2:16" ht="12.75">
      <c r="B100" s="82"/>
      <c r="C100" s="83"/>
      <c r="D100" s="83"/>
      <c r="E100" s="83" t="str">
        <f>CONCATENATE("Maintenance and Repairs (",G13,"/year)")</f>
        <v>Maintenance and Repairs ($US/year)</v>
      </c>
      <c r="F100" s="83"/>
      <c r="G100" s="10">
        <v>25000</v>
      </c>
      <c r="H100" s="114"/>
      <c r="I100" s="113"/>
      <c r="J100" s="82"/>
      <c r="K100" s="83"/>
      <c r="L100" s="83" t="s">
        <v>41</v>
      </c>
      <c r="M100" s="83"/>
      <c r="N100" s="83"/>
      <c r="O100" s="33">
        <v>0</v>
      </c>
      <c r="P100" s="85"/>
    </row>
    <row r="101" spans="2:16" ht="12.75">
      <c r="B101" s="82"/>
      <c r="C101" s="83"/>
      <c r="D101" s="83"/>
      <c r="E101" s="83" t="str">
        <f>CONCATENATE("Insurance (",G13,"/year)")</f>
        <v>Insurance ($US/year)</v>
      </c>
      <c r="F101" s="83"/>
      <c r="G101" s="10">
        <v>10000</v>
      </c>
      <c r="H101" s="114"/>
      <c r="I101" s="113"/>
      <c r="J101" s="82"/>
      <c r="K101" s="83"/>
      <c r="L101" s="83" t="s">
        <v>42</v>
      </c>
      <c r="M101" s="83"/>
      <c r="N101" s="83"/>
      <c r="O101" s="33">
        <v>0</v>
      </c>
      <c r="P101" s="85"/>
    </row>
    <row r="102" spans="2:16" ht="12.75">
      <c r="B102" s="82"/>
      <c r="C102" s="83"/>
      <c r="D102" s="83"/>
      <c r="E102" s="83" t="str">
        <f>CONCATENATE("Other (",$G$13,"/year)")</f>
        <v>Other ($US/year)</v>
      </c>
      <c r="F102" s="83"/>
      <c r="G102" s="10">
        <v>0</v>
      </c>
      <c r="H102" s="114"/>
      <c r="I102" s="113"/>
      <c r="J102" s="82"/>
      <c r="K102" s="83"/>
      <c r="L102" s="83" t="s">
        <v>43</v>
      </c>
      <c r="M102" s="83"/>
      <c r="N102" s="83"/>
      <c r="O102" s="33">
        <v>0</v>
      </c>
      <c r="P102" s="85"/>
    </row>
    <row r="103" spans="2:16" ht="13.5" thickBot="1">
      <c r="B103" s="82"/>
      <c r="C103" s="83"/>
      <c r="D103" s="83"/>
      <c r="E103" s="83"/>
      <c r="F103" s="83"/>
      <c r="G103" s="28"/>
      <c r="H103" s="114"/>
      <c r="I103" s="113"/>
      <c r="J103" s="82"/>
      <c r="K103" s="83"/>
      <c r="L103" s="83" t="s">
        <v>44</v>
      </c>
      <c r="M103" s="83"/>
      <c r="N103" s="83"/>
      <c r="O103" s="33">
        <v>0</v>
      </c>
      <c r="P103" s="85"/>
    </row>
    <row r="104" spans="2:21" ht="12.75">
      <c r="B104" s="82"/>
      <c r="C104" s="83"/>
      <c r="D104" s="83"/>
      <c r="E104" s="66" t="str">
        <f>CONCATENATE("Total per Wind Turbine O&amp;M Expenses (",G13,"/year)")</f>
        <v>Total per Wind Turbine O&amp;M Expenses ($US/year)</v>
      </c>
      <c r="F104" s="66"/>
      <c r="G104" s="22">
        <f>SUM(G98:G102)</f>
        <v>45000</v>
      </c>
      <c r="H104" s="114"/>
      <c r="I104" s="113"/>
      <c r="J104" s="82"/>
      <c r="K104" s="83"/>
      <c r="L104" s="83" t="s">
        <v>45</v>
      </c>
      <c r="M104" s="83"/>
      <c r="N104" s="83"/>
      <c r="O104" s="33">
        <v>0</v>
      </c>
      <c r="P104" s="85"/>
      <c r="R104" s="65"/>
      <c r="S104" s="65"/>
      <c r="T104" s="125"/>
      <c r="U104" s="65"/>
    </row>
    <row r="105" spans="2:21" ht="12.75">
      <c r="B105" s="82"/>
      <c r="C105" s="83"/>
      <c r="D105" s="83"/>
      <c r="E105" s="66"/>
      <c r="F105" s="66"/>
      <c r="G105" s="21"/>
      <c r="H105" s="114"/>
      <c r="I105" s="113"/>
      <c r="J105" s="82"/>
      <c r="K105" s="83"/>
      <c r="L105" s="83" t="s">
        <v>46</v>
      </c>
      <c r="M105" s="83"/>
      <c r="N105" s="83"/>
      <c r="O105" s="33">
        <v>0</v>
      </c>
      <c r="P105" s="85"/>
      <c r="R105" s="65"/>
      <c r="S105" s="65"/>
      <c r="T105" s="125"/>
      <c r="U105" s="65"/>
    </row>
    <row r="106" spans="2:21" ht="12.75">
      <c r="B106" s="82"/>
      <c r="C106" s="83"/>
      <c r="D106" s="98" t="s">
        <v>129</v>
      </c>
      <c r="E106" s="65"/>
      <c r="F106" s="65"/>
      <c r="G106" s="25"/>
      <c r="H106" s="114"/>
      <c r="I106" s="113"/>
      <c r="J106" s="82"/>
      <c r="K106" s="83"/>
      <c r="L106" s="83" t="s">
        <v>47</v>
      </c>
      <c r="M106" s="83"/>
      <c r="N106" s="83"/>
      <c r="O106" s="33">
        <v>0</v>
      </c>
      <c r="P106" s="85"/>
      <c r="R106" s="65"/>
      <c r="S106" s="65"/>
      <c r="T106" s="125"/>
      <c r="U106" s="65"/>
    </row>
    <row r="107" spans="2:21" ht="12.75">
      <c r="B107" s="82"/>
      <c r="C107" s="83"/>
      <c r="D107" s="83"/>
      <c r="E107" s="83" t="str">
        <f>CONCATENATE("Business Licences (",G13,"/year)")</f>
        <v>Business Licences ($US/year)</v>
      </c>
      <c r="F107" s="83"/>
      <c r="G107" s="10">
        <v>4000</v>
      </c>
      <c r="H107" s="114"/>
      <c r="I107" s="113"/>
      <c r="J107" s="82"/>
      <c r="K107" s="83"/>
      <c r="L107" s="83" t="s">
        <v>48</v>
      </c>
      <c r="M107" s="83"/>
      <c r="N107" s="83"/>
      <c r="O107" s="33">
        <v>0</v>
      </c>
      <c r="P107" s="85"/>
      <c r="R107" s="65"/>
      <c r="S107" s="65"/>
      <c r="T107" s="125"/>
      <c r="U107" s="65"/>
    </row>
    <row r="108" spans="2:21" ht="12.75">
      <c r="B108" s="82"/>
      <c r="C108" s="83"/>
      <c r="D108" s="83"/>
      <c r="E108" s="83" t="str">
        <f>CONCATENATE("Executive Salaries (",G13,"/year)")</f>
        <v>Executive Salaries ($US/year)</v>
      </c>
      <c r="F108" s="83"/>
      <c r="G108" s="10">
        <v>750000</v>
      </c>
      <c r="H108" s="114"/>
      <c r="I108" s="113"/>
      <c r="J108" s="82"/>
      <c r="K108" s="83"/>
      <c r="L108" s="83" t="s">
        <v>49</v>
      </c>
      <c r="M108" s="83"/>
      <c r="N108" s="83"/>
      <c r="O108" s="33">
        <v>0</v>
      </c>
      <c r="P108" s="85"/>
      <c r="R108" s="65"/>
      <c r="S108" s="65"/>
      <c r="T108" s="125"/>
      <c r="U108" s="65"/>
    </row>
    <row r="109" spans="2:21" ht="12.75">
      <c r="B109" s="82"/>
      <c r="C109" s="83"/>
      <c r="D109" s="83"/>
      <c r="E109" s="83" t="str">
        <f>CONCATENATE("Administrative Salaries (",G13,"/year)")</f>
        <v>Administrative Salaries ($US/year)</v>
      </c>
      <c r="F109" s="83"/>
      <c r="G109" s="10">
        <v>60000</v>
      </c>
      <c r="H109" s="114"/>
      <c r="I109" s="113"/>
      <c r="J109" s="82"/>
      <c r="K109" s="83"/>
      <c r="L109" s="83" t="s">
        <v>50</v>
      </c>
      <c r="M109" s="83"/>
      <c r="N109" s="83"/>
      <c r="O109" s="33">
        <v>0</v>
      </c>
      <c r="P109" s="85"/>
      <c r="R109" s="65"/>
      <c r="S109" s="65"/>
      <c r="T109" s="125"/>
      <c r="U109" s="65"/>
    </row>
    <row r="110" spans="2:21" ht="12.75">
      <c r="B110" s="82"/>
      <c r="C110" s="83"/>
      <c r="D110" s="83"/>
      <c r="E110" s="27" t="str">
        <f>CONCATENATE("Telephone, Office Supplies, Furniture, etc. (",G13,"/year)")</f>
        <v>Telephone, Office Supplies, Furniture, etc. ($US/year)</v>
      </c>
      <c r="G110" s="10">
        <v>120000</v>
      </c>
      <c r="H110" s="114"/>
      <c r="I110" s="113"/>
      <c r="J110" s="82"/>
      <c r="K110" s="83"/>
      <c r="L110" s="83" t="s">
        <v>51</v>
      </c>
      <c r="M110" s="83"/>
      <c r="N110" s="83"/>
      <c r="O110" s="33">
        <v>0</v>
      </c>
      <c r="P110" s="85"/>
      <c r="R110" s="65"/>
      <c r="S110" s="65"/>
      <c r="T110" s="125"/>
      <c r="U110" s="65"/>
    </row>
    <row r="111" spans="2:21" ht="12.75">
      <c r="B111" s="82"/>
      <c r="C111" s="83"/>
      <c r="D111" s="83"/>
      <c r="E111" s="27" t="str">
        <f>CONCATENATE("Bank Fees (",G13,"/year)")</f>
        <v>Bank Fees ($US/year)</v>
      </c>
      <c r="G111" s="10">
        <v>2000</v>
      </c>
      <c r="H111" s="114"/>
      <c r="I111" s="113"/>
      <c r="J111" s="82"/>
      <c r="K111" s="83"/>
      <c r="L111" s="83" t="s">
        <v>52</v>
      </c>
      <c r="M111" s="83"/>
      <c r="N111" s="83"/>
      <c r="O111" s="33">
        <v>0</v>
      </c>
      <c r="P111" s="85"/>
      <c r="R111" s="65"/>
      <c r="S111" s="65"/>
      <c r="T111" s="125"/>
      <c r="U111" s="65"/>
    </row>
    <row r="112" spans="2:21" ht="12.75">
      <c r="B112" s="82"/>
      <c r="C112" s="83"/>
      <c r="D112" s="83"/>
      <c r="E112" s="83" t="str">
        <f>CONCATENATE("Other (",$G$13,"/year)")</f>
        <v>Other ($US/year)</v>
      </c>
      <c r="F112" s="83"/>
      <c r="G112" s="10">
        <v>0</v>
      </c>
      <c r="H112" s="114"/>
      <c r="I112" s="113"/>
      <c r="J112" s="82"/>
      <c r="K112" s="83"/>
      <c r="L112" s="83" t="s">
        <v>53</v>
      </c>
      <c r="M112" s="83"/>
      <c r="N112" s="83"/>
      <c r="O112" s="33">
        <v>0</v>
      </c>
      <c r="P112" s="85"/>
      <c r="R112" s="65"/>
      <c r="S112" s="65"/>
      <c r="T112" s="125"/>
      <c r="U112" s="65"/>
    </row>
    <row r="113" spans="2:21" ht="13.5" thickBot="1">
      <c r="B113" s="82"/>
      <c r="C113" s="83"/>
      <c r="D113" s="83"/>
      <c r="G113" s="20"/>
      <c r="H113" s="114"/>
      <c r="I113" s="113"/>
      <c r="J113" s="82"/>
      <c r="K113" s="83"/>
      <c r="L113" s="83" t="s">
        <v>54</v>
      </c>
      <c r="M113" s="83"/>
      <c r="N113" s="83"/>
      <c r="O113" s="33">
        <v>0</v>
      </c>
      <c r="P113" s="85"/>
      <c r="R113" s="65"/>
      <c r="S113" s="65"/>
      <c r="T113" s="125"/>
      <c r="U113" s="65"/>
    </row>
    <row r="114" spans="2:21" ht="12.75">
      <c r="B114" s="82"/>
      <c r="C114" s="83"/>
      <c r="D114" s="83"/>
      <c r="E114" s="66" t="str">
        <f>CONCATENATE("Total SAGE (",G13,"/year)")</f>
        <v>Total SAGE ($US/year)</v>
      </c>
      <c r="F114" s="66"/>
      <c r="G114" s="22">
        <f>SUM(G107:G112)</f>
        <v>936000</v>
      </c>
      <c r="H114" s="114"/>
      <c r="I114" s="113"/>
      <c r="J114" s="82"/>
      <c r="K114" s="83"/>
      <c r="L114" s="83" t="s">
        <v>55</v>
      </c>
      <c r="M114" s="83"/>
      <c r="N114" s="83"/>
      <c r="O114" s="33">
        <v>0</v>
      </c>
      <c r="P114" s="85"/>
      <c r="R114" s="65"/>
      <c r="S114" s="65"/>
      <c r="T114" s="125"/>
      <c r="U114" s="65"/>
    </row>
    <row r="115" spans="2:16" ht="12.75">
      <c r="B115" s="82"/>
      <c r="C115" s="83"/>
      <c r="D115" s="83"/>
      <c r="E115" s="83"/>
      <c r="F115" s="83"/>
      <c r="G115" s="28"/>
      <c r="H115" s="114"/>
      <c r="I115" s="113"/>
      <c r="J115" s="82"/>
      <c r="K115" s="83"/>
      <c r="L115" s="83"/>
      <c r="M115" s="83"/>
      <c r="N115" s="83"/>
      <c r="O115" s="28"/>
      <c r="P115" s="85"/>
    </row>
    <row r="116" spans="2:16" ht="12.75">
      <c r="B116" s="89"/>
      <c r="C116" s="90" t="s">
        <v>0</v>
      </c>
      <c r="D116" s="90"/>
      <c r="E116" s="90"/>
      <c r="F116" s="90"/>
      <c r="G116" s="91"/>
      <c r="H116" s="92"/>
      <c r="I116" s="113"/>
      <c r="J116" s="89"/>
      <c r="K116" s="90" t="s">
        <v>26</v>
      </c>
      <c r="L116" s="90"/>
      <c r="M116" s="90"/>
      <c r="N116" s="91"/>
      <c r="O116" s="91"/>
      <c r="P116" s="92"/>
    </row>
    <row r="117" spans="2:16" ht="12.75">
      <c r="B117" s="97"/>
      <c r="C117" s="98"/>
      <c r="D117" s="98"/>
      <c r="E117" s="65"/>
      <c r="F117" s="65"/>
      <c r="G117" s="25"/>
      <c r="H117" s="99"/>
      <c r="I117" s="113"/>
      <c r="J117" s="97"/>
      <c r="K117" s="98"/>
      <c r="L117" s="98"/>
      <c r="M117" s="65"/>
      <c r="N117" s="83"/>
      <c r="O117" s="25"/>
      <c r="P117" s="85"/>
    </row>
    <row r="118" spans="2:16" ht="12.75">
      <c r="B118" s="82"/>
      <c r="C118" s="83"/>
      <c r="D118" s="83"/>
      <c r="E118" s="83" t="s">
        <v>139</v>
      </c>
      <c r="F118" s="83"/>
      <c r="G118" s="9">
        <v>60</v>
      </c>
      <c r="H118" s="85"/>
      <c r="I118" s="113"/>
      <c r="J118" s="82"/>
      <c r="K118" s="83"/>
      <c r="L118" s="83" t="s">
        <v>3</v>
      </c>
      <c r="M118" s="83"/>
      <c r="N118" s="83"/>
      <c r="O118" s="17">
        <v>40</v>
      </c>
      <c r="P118" s="85"/>
    </row>
    <row r="119" spans="2:16" ht="12.75">
      <c r="B119" s="82"/>
      <c r="C119" s="83"/>
      <c r="D119" s="83"/>
      <c r="E119" s="83"/>
      <c r="F119" s="83"/>
      <c r="G119" s="28"/>
      <c r="H119" s="85"/>
      <c r="J119" s="82"/>
      <c r="K119" s="83"/>
      <c r="L119" s="83" t="s">
        <v>59</v>
      </c>
      <c r="M119" s="83"/>
      <c r="N119" s="83"/>
      <c r="O119" s="36" t="s">
        <v>176</v>
      </c>
      <c r="P119" s="85"/>
    </row>
    <row r="120" spans="2:16" ht="12.75">
      <c r="B120" s="82"/>
      <c r="C120" s="83"/>
      <c r="D120" s="83"/>
      <c r="E120" s="83" t="s">
        <v>8</v>
      </c>
      <c r="F120" s="83"/>
      <c r="G120" s="17">
        <v>9</v>
      </c>
      <c r="H120" s="85"/>
      <c r="J120" s="82"/>
      <c r="K120" s="83"/>
      <c r="L120" s="83"/>
      <c r="M120" s="83"/>
      <c r="N120" s="83"/>
      <c r="O120" s="83"/>
      <c r="P120" s="85"/>
    </row>
    <row r="121" spans="2:16" ht="12.75">
      <c r="B121" s="82"/>
      <c r="C121" s="83"/>
      <c r="D121" s="83"/>
      <c r="E121" s="83" t="s">
        <v>1</v>
      </c>
      <c r="F121" s="83"/>
      <c r="G121" s="11">
        <v>20</v>
      </c>
      <c r="H121" s="85"/>
      <c r="J121" s="82"/>
      <c r="P121" s="85"/>
    </row>
    <row r="122" spans="2:16" ht="12.75">
      <c r="B122" s="82"/>
      <c r="C122" s="83"/>
      <c r="D122" s="83"/>
      <c r="E122" s="83"/>
      <c r="F122" s="83"/>
      <c r="G122" s="28"/>
      <c r="H122" s="85"/>
      <c r="J122" s="82"/>
      <c r="P122" s="85"/>
    </row>
    <row r="123" spans="2:16" ht="12.75">
      <c r="B123" s="89"/>
      <c r="C123" s="90" t="s">
        <v>56</v>
      </c>
      <c r="D123" s="90"/>
      <c r="E123" s="90"/>
      <c r="F123" s="90"/>
      <c r="G123" s="91"/>
      <c r="H123" s="92"/>
      <c r="J123" s="89"/>
      <c r="K123" s="90" t="s">
        <v>203</v>
      </c>
      <c r="L123" s="90"/>
      <c r="M123" s="90"/>
      <c r="N123" s="91"/>
      <c r="O123" s="91"/>
      <c r="P123" s="92"/>
    </row>
    <row r="124" spans="2:16" ht="12.75">
      <c r="B124" s="82"/>
      <c r="C124" s="83"/>
      <c r="D124" s="83"/>
      <c r="E124" s="83"/>
      <c r="F124" s="83"/>
      <c r="G124" s="26"/>
      <c r="H124" s="85"/>
      <c r="J124" s="97"/>
      <c r="K124" s="98"/>
      <c r="L124" s="98"/>
      <c r="M124" s="98"/>
      <c r="N124" s="65"/>
      <c r="O124" s="65"/>
      <c r="P124" s="99"/>
    </row>
    <row r="125" spans="2:16" ht="12.75">
      <c r="B125" s="82"/>
      <c r="C125" s="83"/>
      <c r="D125" s="83"/>
      <c r="E125" s="83" t="s">
        <v>57</v>
      </c>
      <c r="F125" s="83"/>
      <c r="G125" s="185">
        <v>1</v>
      </c>
      <c r="H125" s="85"/>
      <c r="J125" s="82"/>
      <c r="K125" s="120" t="s">
        <v>212</v>
      </c>
      <c r="L125" s="83"/>
      <c r="M125" s="83"/>
      <c r="N125" s="83"/>
      <c r="O125" s="26"/>
      <c r="P125" s="85"/>
    </row>
    <row r="126" spans="2:16" ht="12.75">
      <c r="B126" s="82"/>
      <c r="C126" s="83"/>
      <c r="D126" s="83"/>
      <c r="E126" s="83" t="s">
        <v>223</v>
      </c>
      <c r="F126" s="83"/>
      <c r="G126" s="185">
        <v>2</v>
      </c>
      <c r="H126" s="85"/>
      <c r="J126" s="82"/>
      <c r="K126" s="83"/>
      <c r="L126" s="83" t="s">
        <v>145</v>
      </c>
      <c r="M126" s="83"/>
      <c r="N126" s="26"/>
      <c r="O126" s="9">
        <v>12</v>
      </c>
      <c r="P126" s="85"/>
    </row>
    <row r="127" spans="2:16" ht="12.75">
      <c r="B127" s="82"/>
      <c r="C127" s="83"/>
      <c r="D127" s="83"/>
      <c r="E127" s="83" t="s">
        <v>127</v>
      </c>
      <c r="F127" s="83"/>
      <c r="G127" s="185">
        <v>2</v>
      </c>
      <c r="H127" s="85"/>
      <c r="J127" s="82"/>
      <c r="K127" s="83"/>
      <c r="L127" s="83"/>
      <c r="M127" s="83" t="s">
        <v>143</v>
      </c>
      <c r="N127" s="83"/>
      <c r="O127" s="17">
        <v>15</v>
      </c>
      <c r="P127" s="85"/>
    </row>
    <row r="128" spans="2:16" ht="12.75">
      <c r="B128" s="82"/>
      <c r="C128" s="83"/>
      <c r="D128" s="83"/>
      <c r="E128" s="83"/>
      <c r="F128" s="83"/>
      <c r="G128" s="143"/>
      <c r="H128" s="85"/>
      <c r="J128" s="82"/>
      <c r="K128" s="83"/>
      <c r="L128" s="83"/>
      <c r="M128" s="83"/>
      <c r="N128" s="83"/>
      <c r="O128" s="17"/>
      <c r="P128" s="85"/>
    </row>
    <row r="129" spans="2:23" ht="12.75">
      <c r="B129" s="89"/>
      <c r="C129" s="90" t="s">
        <v>154</v>
      </c>
      <c r="D129" s="90"/>
      <c r="E129" s="90"/>
      <c r="F129" s="91"/>
      <c r="G129" s="91"/>
      <c r="H129" s="92"/>
      <c r="J129" s="82"/>
      <c r="K129" s="120" t="s">
        <v>213</v>
      </c>
      <c r="L129" s="83"/>
      <c r="M129" s="83"/>
      <c r="N129" s="83"/>
      <c r="O129" s="83"/>
      <c r="P129" s="85"/>
      <c r="Q129" s="82"/>
      <c r="R129" s="83"/>
      <c r="S129" s="83"/>
      <c r="T129" s="83"/>
      <c r="U129" s="83"/>
      <c r="V129" s="26"/>
      <c r="W129" s="83"/>
    </row>
    <row r="130" spans="2:23" ht="12.75">
      <c r="B130" s="82"/>
      <c r="C130" s="83"/>
      <c r="D130" s="83"/>
      <c r="E130" s="83"/>
      <c r="F130" s="83"/>
      <c r="G130" s="83"/>
      <c r="H130" s="85"/>
      <c r="J130" s="82"/>
      <c r="K130" s="83"/>
      <c r="L130" s="83" t="s">
        <v>58</v>
      </c>
      <c r="M130" s="83"/>
      <c r="N130" s="83"/>
      <c r="O130" s="9">
        <v>7</v>
      </c>
      <c r="P130" s="85"/>
      <c r="Q130" s="83"/>
      <c r="R130" s="83"/>
      <c r="S130" s="83"/>
      <c r="T130" s="83"/>
      <c r="U130" s="83"/>
      <c r="V130" s="26"/>
      <c r="W130" s="83"/>
    </row>
    <row r="131" spans="2:16" ht="12.75">
      <c r="B131" s="82"/>
      <c r="C131" s="83"/>
      <c r="D131" s="83"/>
      <c r="E131" s="83" t="s">
        <v>189</v>
      </c>
      <c r="F131" s="83"/>
      <c r="G131" s="17">
        <v>2</v>
      </c>
      <c r="H131" s="85"/>
      <c r="J131" s="82"/>
      <c r="K131" s="83"/>
      <c r="M131" s="27" t="s">
        <v>143</v>
      </c>
      <c r="O131" s="17">
        <v>75</v>
      </c>
      <c r="P131" s="85"/>
    </row>
    <row r="132" spans="2:16" ht="12.75">
      <c r="B132" s="82"/>
      <c r="C132" s="83"/>
      <c r="D132" s="83"/>
      <c r="E132" s="83"/>
      <c r="F132" s="83"/>
      <c r="G132" s="17"/>
      <c r="H132" s="85"/>
      <c r="J132" s="82"/>
      <c r="K132" s="83"/>
      <c r="O132" s="17"/>
      <c r="P132" s="85"/>
    </row>
    <row r="133" spans="2:16" ht="12.75">
      <c r="B133" s="89"/>
      <c r="C133" s="90" t="s">
        <v>131</v>
      </c>
      <c r="D133" s="90"/>
      <c r="E133" s="90"/>
      <c r="F133" s="91"/>
      <c r="G133" s="91"/>
      <c r="H133" s="92"/>
      <c r="J133" s="82"/>
      <c r="K133" s="120" t="s">
        <v>214</v>
      </c>
      <c r="L133" s="83"/>
      <c r="M133" s="83"/>
      <c r="N133" s="83"/>
      <c r="O133" s="83"/>
      <c r="P133" s="85"/>
    </row>
    <row r="134" spans="2:16" ht="12.75">
      <c r="B134" s="82"/>
      <c r="C134" s="83"/>
      <c r="D134" s="83"/>
      <c r="E134" s="83"/>
      <c r="F134" s="83"/>
      <c r="G134" s="17"/>
      <c r="H134" s="85"/>
      <c r="J134" s="82"/>
      <c r="K134" s="83"/>
      <c r="L134" s="83" t="s">
        <v>146</v>
      </c>
      <c r="M134" s="83"/>
      <c r="N134" s="83"/>
      <c r="O134" s="9">
        <v>4</v>
      </c>
      <c r="P134" s="85"/>
    </row>
    <row r="135" spans="2:16" ht="12.75">
      <c r="B135" s="82"/>
      <c r="C135" s="83"/>
      <c r="D135" s="83"/>
      <c r="E135" s="83" t="str">
        <f>CONCATENATE("Initial Working Capital Required (",$G$13,")")</f>
        <v>Initial Working Capital Required ($US)</v>
      </c>
      <c r="F135" s="83"/>
      <c r="G135" s="11">
        <v>4000000</v>
      </c>
      <c r="H135" s="85"/>
      <c r="J135" s="82"/>
      <c r="K135" s="83"/>
      <c r="L135" s="83"/>
      <c r="M135" s="83" t="s">
        <v>143</v>
      </c>
      <c r="N135" s="83"/>
      <c r="O135" s="17">
        <v>5</v>
      </c>
      <c r="P135" s="85"/>
    </row>
    <row r="136" spans="2:16" ht="12.75">
      <c r="B136" s="82"/>
      <c r="C136" s="83"/>
      <c r="D136" s="83"/>
      <c r="E136" s="83" t="str">
        <f>CONCATENATE("Minimum Cash Balance (",$G$13,")")</f>
        <v>Minimum Cash Balance ($US)</v>
      </c>
      <c r="F136" s="83"/>
      <c r="G136" s="11">
        <v>1000000</v>
      </c>
      <c r="H136" s="85"/>
      <c r="J136" s="82"/>
      <c r="K136" s="83"/>
      <c r="L136" s="83"/>
      <c r="M136" s="83"/>
      <c r="N136" s="83"/>
      <c r="O136" s="17"/>
      <c r="P136" s="85"/>
    </row>
    <row r="137" spans="2:16" ht="12.75">
      <c r="B137" s="82"/>
      <c r="C137" s="83"/>
      <c r="D137" s="83"/>
      <c r="E137" s="83"/>
      <c r="F137" s="83"/>
      <c r="G137" s="83"/>
      <c r="H137" s="85"/>
      <c r="J137" s="82"/>
      <c r="K137" s="120" t="s">
        <v>215</v>
      </c>
      <c r="L137" s="83"/>
      <c r="M137" s="83"/>
      <c r="N137" s="83"/>
      <c r="O137" s="17"/>
      <c r="P137" s="85"/>
    </row>
    <row r="138" spans="2:16" ht="12.75">
      <c r="B138" s="89"/>
      <c r="C138" s="90" t="s">
        <v>134</v>
      </c>
      <c r="D138" s="90"/>
      <c r="E138" s="90"/>
      <c r="F138" s="91"/>
      <c r="G138" s="91"/>
      <c r="H138" s="92"/>
      <c r="J138" s="82"/>
      <c r="K138" s="83"/>
      <c r="L138" s="83" t="s">
        <v>199</v>
      </c>
      <c r="M138" s="83"/>
      <c r="N138" s="83"/>
      <c r="O138" s="9">
        <v>1</v>
      </c>
      <c r="P138" s="85"/>
    </row>
    <row r="139" spans="2:16" ht="12.75">
      <c r="B139" s="82"/>
      <c r="C139" s="83"/>
      <c r="D139" s="83"/>
      <c r="E139" s="83"/>
      <c r="F139" s="83"/>
      <c r="G139" s="83"/>
      <c r="H139" s="85"/>
      <c r="J139" s="82"/>
      <c r="K139" s="83"/>
      <c r="L139" s="83"/>
      <c r="M139" s="83" t="s">
        <v>143</v>
      </c>
      <c r="N139" s="83"/>
      <c r="O139" s="17">
        <v>5</v>
      </c>
      <c r="P139" s="85"/>
    </row>
    <row r="140" spans="2:16" ht="12.75">
      <c r="B140" s="82"/>
      <c r="C140" s="83"/>
      <c r="D140" s="83"/>
      <c r="E140" s="83" t="s">
        <v>133</v>
      </c>
      <c r="F140" s="83"/>
      <c r="G140" s="9">
        <v>0</v>
      </c>
      <c r="H140" s="85"/>
      <c r="J140" s="82"/>
      <c r="K140" s="83"/>
      <c r="L140" s="83"/>
      <c r="M140" s="83"/>
      <c r="N140" s="83"/>
      <c r="O140" s="83"/>
      <c r="P140" s="85"/>
    </row>
    <row r="141" spans="2:16" ht="13.5" thickBot="1">
      <c r="B141" s="103"/>
      <c r="C141" s="104"/>
      <c r="D141" s="104"/>
      <c r="E141" s="104"/>
      <c r="F141" s="104"/>
      <c r="G141" s="104"/>
      <c r="H141" s="105"/>
      <c r="J141" s="103"/>
      <c r="K141" s="104"/>
      <c r="L141" s="104"/>
      <c r="M141" s="104"/>
      <c r="N141" s="104"/>
      <c r="O141" s="104"/>
      <c r="P141" s="105"/>
    </row>
    <row r="142" spans="10:16" ht="12.75">
      <c r="J142" s="83"/>
      <c r="K142" s="83"/>
      <c r="L142" s="83"/>
      <c r="M142" s="83"/>
      <c r="N142" s="83"/>
      <c r="O142" s="83"/>
      <c r="P142" s="83"/>
    </row>
    <row r="145" ht="12.75">
      <c r="B145" s="27" t="s">
        <v>216</v>
      </c>
    </row>
    <row r="146" ht="12.75">
      <c r="C146" s="27" t="s">
        <v>217</v>
      </c>
    </row>
    <row r="148" ht="12.75">
      <c r="B148" s="27" t="s">
        <v>209</v>
      </c>
    </row>
    <row r="149" spans="4:5" ht="12.75">
      <c r="D149" s="27" t="s">
        <v>20</v>
      </c>
      <c r="E149" s="27" t="s">
        <v>210</v>
      </c>
    </row>
    <row r="151" ht="12.75">
      <c r="B151" s="126" t="s">
        <v>211</v>
      </c>
    </row>
    <row r="152" ht="12.75">
      <c r="C152" s="27" t="s">
        <v>122</v>
      </c>
    </row>
    <row r="153" spans="3:7" ht="12.75">
      <c r="C153" s="27" t="s">
        <v>121</v>
      </c>
      <c r="G153" s="127"/>
    </row>
    <row r="154" spans="2:7" ht="12.75">
      <c r="B154" s="26"/>
      <c r="G154" s="127"/>
    </row>
  </sheetData>
  <sheetProtection sheet="1" objects="1" scenarios="1"/>
  <dataValidations count="18">
    <dataValidation type="whole" allowBlank="1" showInputMessage="1" showErrorMessage="1" sqref="G23">
      <formula1>1</formula1>
      <formula2>10000</formula2>
    </dataValidation>
    <dataValidation type="decimal" allowBlank="1" showInputMessage="1" showErrorMessage="1" sqref="G22">
      <formula1>0</formula1>
      <formula2>50</formula2>
    </dataValidation>
    <dataValidation type="decimal" allowBlank="1" showInputMessage="1" showErrorMessage="1" sqref="G30:G33 G118 G120 G140 O118 G124 N126 O90:O114 O130:O132 O127:O128 O135:O137 G138 O139">
      <formula1>0</formula1>
      <formula2>100</formula2>
    </dataValidation>
    <dataValidation type="whole" allowBlank="1" showInputMessage="1" showErrorMessage="1" sqref="G39">
      <formula1>0</formula1>
      <formula2>20</formula2>
    </dataValidation>
    <dataValidation type="whole" allowBlank="1" showInputMessage="1" showErrorMessage="1" sqref="G29">
      <formula1>0</formula1>
      <formula2>365</formula2>
    </dataValidation>
    <dataValidation type="whole" allowBlank="1" showInputMessage="1" showErrorMessage="1" sqref="G9 G48:G56 G58">
      <formula1>0</formula1>
      <formula2>1000000000</formula2>
    </dataValidation>
    <dataValidation type="decimal" allowBlank="1" showInputMessage="1" showErrorMessage="1" sqref="G37:G38">
      <formula1>0</formula1>
      <formula2>20000</formula2>
    </dataValidation>
    <dataValidation type="whole" allowBlank="1" showInputMessage="1" showErrorMessage="1" sqref="G94 G96:G101 G89:G92 G107:G111 G113">
      <formula1>0</formula1>
      <formula2>10000000000</formula2>
    </dataValidation>
    <dataValidation type="decimal" allowBlank="1" showInputMessage="1" showErrorMessage="1" sqref="G102 G93 G112 G57 G69">
      <formula1>-100000000</formula1>
      <formula2>100000000</formula2>
    </dataValidation>
    <dataValidation type="whole" allowBlank="1" showInputMessage="1" showErrorMessage="1" sqref="G26 O87:O89 G121">
      <formula1>0</formula1>
      <formula2>50</formula2>
    </dataValidation>
    <dataValidation type="list" allowBlank="1" showInputMessage="1" showErrorMessage="1" sqref="O119">
      <formula1>"Y,N"</formula1>
    </dataValidation>
    <dataValidation type="whole" allowBlank="1" showInputMessage="1" showErrorMessage="1" sqref="G10">
      <formula1>0</formula1>
      <formula2>500000000000</formula2>
    </dataValidation>
    <dataValidation type="whole" allowBlank="1" showInputMessage="1" showErrorMessage="1" sqref="G12">
      <formula1>0</formula1>
      <formula2>5000</formula2>
    </dataValidation>
    <dataValidation type="decimal" allowBlank="1" showInputMessage="1" showErrorMessage="1" sqref="G24">
      <formula1>1</formula1>
      <formula2>100</formula2>
    </dataValidation>
    <dataValidation type="whole" allowBlank="1" showInputMessage="1" showErrorMessage="1" sqref="G62:G68">
      <formula1>0</formula1>
      <formula2>500000000</formula2>
    </dataValidation>
    <dataValidation type="decimal" allowBlank="1" showInputMessage="1" showErrorMessage="1" sqref="G43">
      <formula1>-100000000</formula1>
      <formula2>1000000000</formula2>
    </dataValidation>
    <dataValidation type="decimal" allowBlank="1" showInputMessage="1" showErrorMessage="1" sqref="G125:G128">
      <formula1>-100</formula1>
      <formula2>100</formula2>
    </dataValidation>
    <dataValidation type="decimal" allowBlank="1" showInputMessage="1" showErrorMessage="1" sqref="G74:G75">
      <formula1>0</formula1>
      <formula2>40</formula2>
    </dataValidation>
  </dataValidations>
  <printOptions/>
  <pageMargins left="0.7874015748031497" right="0.7874015748031497" top="0.7874015748031497" bottom="0.7874015748031497" header="0.3937007874015748" footer="0.3937007874015748"/>
  <pageSetup firstPageNumber="2" useFirstPageNumber="1" horizontalDpi="600" verticalDpi="600" orientation="portrait" scale="60" r:id="rId1"/>
  <headerFooter alignWithMargins="0">
    <oddHeader>&amp;L&amp;"Arial,Bold"&amp;12Wind Turbine Farm Economic Viability Model
</oddHeader>
    <oddFooter>&amp;L&amp;F,  www.vanfm.com&amp;CPage &amp;P&amp;Rby Tom Kingston P.Eng MBA (604) 694-2501</oddFooter>
  </headerFooter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I157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2" width="1.7109375" style="0" customWidth="1"/>
    <col min="3" max="5" width="2.28125" style="0" customWidth="1"/>
    <col min="6" max="6" width="25.140625" style="0" customWidth="1"/>
    <col min="7" max="7" width="7.421875" style="0" customWidth="1"/>
    <col min="8" max="8" width="1.57421875" style="35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1.7109375" style="0" customWidth="1"/>
    <col min="17" max="17" width="12.7109375" style="0" customWidth="1"/>
    <col min="18" max="18" width="1.7109375" style="0" customWidth="1"/>
    <col min="19" max="19" width="12.7109375" style="0" customWidth="1"/>
    <col min="20" max="20" width="1.7109375" style="0" customWidth="1"/>
    <col min="21" max="21" width="12.7109375" style="0" customWidth="1"/>
    <col min="22" max="22" width="1.7109375" style="0" customWidth="1"/>
    <col min="23" max="23" width="12.7109375" style="0" customWidth="1"/>
    <col min="24" max="24" width="1.7109375" style="0" customWidth="1"/>
    <col min="25" max="25" width="12.7109375" style="0" customWidth="1"/>
    <col min="26" max="26" width="1.7109375" style="0" customWidth="1"/>
    <col min="27" max="27" width="12.7109375" style="0" customWidth="1"/>
    <col min="28" max="28" width="1.7109375" style="0" customWidth="1"/>
    <col min="29" max="29" width="12.7109375" style="0" customWidth="1"/>
    <col min="30" max="30" width="1.7109375" style="0" customWidth="1"/>
    <col min="31" max="31" width="12.7109375" style="0" customWidth="1"/>
    <col min="32" max="32" width="1.7109375" style="0" customWidth="1"/>
    <col min="33" max="33" width="12.7109375" style="0" customWidth="1"/>
    <col min="34" max="34" width="1.7109375" style="0" customWidth="1"/>
    <col min="35" max="35" width="12.7109375" style="0" customWidth="1"/>
    <col min="36" max="36" width="1.7109375" style="0" customWidth="1"/>
    <col min="37" max="37" width="12.7109375" style="0" customWidth="1"/>
    <col min="38" max="38" width="1.7109375" style="0" customWidth="1"/>
    <col min="39" max="39" width="12.7109375" style="0" customWidth="1"/>
    <col min="40" max="40" width="1.57421875" style="31" customWidth="1"/>
    <col min="41" max="41" width="14.00390625" style="0" bestFit="1" customWidth="1"/>
    <col min="42" max="42" width="1.7109375" style="0" customWidth="1"/>
    <col min="43" max="43" width="12.7109375" style="0" customWidth="1"/>
    <col min="44" max="44" width="1.7109375" style="0" customWidth="1"/>
    <col min="45" max="45" width="12.7109375" style="0" customWidth="1"/>
    <col min="46" max="46" width="1.7109375" style="0" customWidth="1"/>
    <col min="47" max="47" width="12.7109375" style="0" customWidth="1"/>
    <col min="48" max="48" width="1.7109375" style="0" customWidth="1"/>
    <col min="49" max="49" width="12.7109375" style="0" customWidth="1"/>
    <col min="50" max="50" width="1.7109375" style="0" customWidth="1"/>
    <col min="51" max="51" width="12.7109375" style="0" customWidth="1"/>
    <col min="52" max="52" width="1.7109375" style="0" customWidth="1"/>
    <col min="53" max="53" width="12.7109375" style="0" customWidth="1"/>
    <col min="54" max="54" width="1.7109375" style="0" customWidth="1"/>
    <col min="55" max="55" width="12.7109375" style="0" customWidth="1"/>
    <col min="56" max="56" width="1.7109375" style="0" customWidth="1"/>
    <col min="57" max="57" width="12.7109375" style="0" customWidth="1"/>
    <col min="58" max="58" width="1.7109375" style="0" customWidth="1"/>
    <col min="59" max="59" width="12.7109375" style="0" customWidth="1"/>
    <col min="60" max="60" width="1.7109375" style="0" customWidth="1"/>
    <col min="61" max="61" width="12.7109375" style="0" customWidth="1"/>
    <col min="62" max="62" width="1.7109375" style="0" customWidth="1"/>
    <col min="63" max="63" width="12.7109375" style="0" customWidth="1"/>
    <col min="64" max="64" width="1.7109375" style="0" customWidth="1"/>
    <col min="65" max="65" width="12.7109375" style="0" customWidth="1"/>
    <col min="66" max="66" width="1.7109375" style="0" customWidth="1"/>
    <col min="67" max="67" width="12.7109375" style="0" customWidth="1"/>
    <col min="68" max="68" width="1.7109375" style="0" customWidth="1"/>
    <col min="69" max="69" width="12.7109375" style="0" customWidth="1"/>
    <col min="70" max="70" width="1.57421875" style="35" customWidth="1"/>
    <col min="71" max="71" width="12.7109375" style="0" customWidth="1"/>
    <col min="72" max="72" width="1.7109375" style="0" customWidth="1"/>
    <col min="73" max="73" width="12.7109375" style="0" customWidth="1"/>
    <col min="74" max="74" width="1.7109375" style="0" customWidth="1"/>
    <col min="75" max="75" width="12.7109375" style="0" customWidth="1"/>
    <col min="76" max="76" width="1.7109375" style="0" customWidth="1"/>
    <col min="77" max="77" width="12.7109375" style="0" customWidth="1"/>
    <col min="78" max="78" width="1.7109375" style="0" customWidth="1"/>
    <col min="79" max="79" width="12.7109375" style="0" customWidth="1"/>
    <col min="80" max="80" width="1.7109375" style="0" customWidth="1"/>
    <col min="81" max="81" width="12.7109375" style="0" customWidth="1"/>
    <col min="82" max="82" width="1.7109375" style="0" customWidth="1"/>
    <col min="83" max="83" width="12.7109375" style="0" customWidth="1"/>
    <col min="84" max="84" width="1.7109375" style="0" customWidth="1"/>
    <col min="85" max="85" width="12.7109375" style="0" customWidth="1"/>
    <col min="86" max="86" width="1.7109375" style="0" customWidth="1"/>
    <col min="87" max="87" width="12.7109375" style="0" customWidth="1"/>
    <col min="88" max="88" width="1.7109375" style="0" customWidth="1"/>
    <col min="89" max="89" width="12.7109375" style="0" customWidth="1"/>
    <col min="90" max="90" width="1.7109375" style="0" customWidth="1"/>
    <col min="91" max="91" width="12.7109375" style="0" customWidth="1"/>
    <col min="92" max="92" width="1.7109375" style="0" customWidth="1"/>
    <col min="93" max="93" width="12.7109375" style="0" customWidth="1"/>
    <col min="94" max="94" width="1.7109375" style="0" customWidth="1"/>
    <col min="95" max="95" width="12.7109375" style="0" customWidth="1"/>
    <col min="96" max="96" width="1.7109375" style="0" customWidth="1"/>
    <col min="97" max="97" width="12.7109375" style="0" customWidth="1"/>
    <col min="98" max="98" width="1.7109375" style="0" customWidth="1"/>
    <col min="99" max="99" width="12.7109375" style="0" customWidth="1"/>
    <col min="100" max="100" width="1.57421875" style="31" customWidth="1"/>
    <col min="101" max="101" width="12.7109375" style="0" customWidth="1"/>
    <col min="102" max="102" width="1.7109375" style="0" customWidth="1"/>
    <col min="103" max="103" width="12.7109375" style="0" customWidth="1"/>
    <col min="104" max="104" width="1.7109375" style="0" customWidth="1"/>
    <col min="105" max="105" width="12.7109375" style="0" customWidth="1"/>
    <col min="106" max="106" width="1.7109375" style="0" customWidth="1"/>
    <col min="107" max="107" width="12.7109375" style="0" customWidth="1"/>
    <col min="108" max="108" width="1.7109375" style="0" customWidth="1"/>
    <col min="109" max="109" width="12.7109375" style="0" customWidth="1"/>
    <col min="110" max="110" width="1.7109375" style="0" customWidth="1"/>
    <col min="111" max="111" width="12.7109375" style="0" customWidth="1"/>
    <col min="112" max="112" width="2.00390625" style="0" customWidth="1"/>
    <col min="113" max="113" width="1.57421875" style="0" customWidth="1"/>
  </cols>
  <sheetData>
    <row r="1" ht="13.5" thickBot="1">
      <c r="C1" s="14" t="s">
        <v>240</v>
      </c>
    </row>
    <row r="2" spans="2:112" ht="12.75">
      <c r="B2" s="30"/>
      <c r="C2" s="18" t="s">
        <v>155</v>
      </c>
      <c r="D2" s="18"/>
      <c r="E2" s="18"/>
      <c r="F2" s="18"/>
      <c r="G2" s="18"/>
      <c r="H2" s="37"/>
      <c r="I2" s="174">
        <v>0</v>
      </c>
      <c r="J2" s="174"/>
      <c r="K2" s="174">
        <v>1</v>
      </c>
      <c r="L2" s="174"/>
      <c r="M2" s="174">
        <v>2</v>
      </c>
      <c r="N2" s="174"/>
      <c r="O2" s="174">
        <v>3</v>
      </c>
      <c r="P2" s="174"/>
      <c r="Q2" s="174">
        <v>4</v>
      </c>
      <c r="R2" s="174"/>
      <c r="S2" s="174">
        <v>5</v>
      </c>
      <c r="T2" s="174"/>
      <c r="U2" s="174">
        <v>6</v>
      </c>
      <c r="V2" s="174"/>
      <c r="W2" s="174">
        <v>7</v>
      </c>
      <c r="X2" s="174"/>
      <c r="Y2" s="174">
        <v>8</v>
      </c>
      <c r="Z2" s="174"/>
      <c r="AA2" s="174">
        <v>9</v>
      </c>
      <c r="AB2" s="174"/>
      <c r="AC2" s="174">
        <v>10</v>
      </c>
      <c r="AD2" s="37"/>
      <c r="AE2" s="174">
        <v>11</v>
      </c>
      <c r="AF2" s="174"/>
      <c r="AG2" s="174">
        <v>12</v>
      </c>
      <c r="AH2" s="174"/>
      <c r="AI2" s="174">
        <v>13</v>
      </c>
      <c r="AJ2" s="174"/>
      <c r="AK2" s="174">
        <v>14</v>
      </c>
      <c r="AL2" s="174"/>
      <c r="AM2" s="174">
        <v>15</v>
      </c>
      <c r="AN2" s="174"/>
      <c r="AO2" s="174">
        <v>16</v>
      </c>
      <c r="AP2" s="174"/>
      <c r="AQ2" s="174">
        <v>17</v>
      </c>
      <c r="AR2" s="174"/>
      <c r="AS2" s="174">
        <v>18</v>
      </c>
      <c r="AT2" s="174"/>
      <c r="AU2" s="174">
        <v>19</v>
      </c>
      <c r="AV2" s="174"/>
      <c r="AW2" s="174">
        <v>20</v>
      </c>
      <c r="AX2" s="37"/>
      <c r="AY2" s="174">
        <v>21</v>
      </c>
      <c r="AZ2" s="174"/>
      <c r="BA2" s="174">
        <v>22</v>
      </c>
      <c r="BB2" s="174"/>
      <c r="BC2" s="174">
        <v>23</v>
      </c>
      <c r="BD2" s="174"/>
      <c r="BE2" s="174">
        <v>24</v>
      </c>
      <c r="BF2" s="174"/>
      <c r="BG2" s="174">
        <v>25</v>
      </c>
      <c r="BH2" s="174"/>
      <c r="BI2" s="174">
        <v>26</v>
      </c>
      <c r="BJ2" s="174"/>
      <c r="BK2" s="174">
        <v>27</v>
      </c>
      <c r="BL2" s="174"/>
      <c r="BM2" s="174">
        <v>28</v>
      </c>
      <c r="BN2" s="174"/>
      <c r="BO2" s="174">
        <v>29</v>
      </c>
      <c r="BP2" s="174"/>
      <c r="BQ2" s="174">
        <v>30</v>
      </c>
      <c r="BR2" s="37"/>
      <c r="BS2" s="174">
        <v>31</v>
      </c>
      <c r="BT2" s="174"/>
      <c r="BU2" s="174">
        <v>32</v>
      </c>
      <c r="BV2" s="174"/>
      <c r="BW2" s="174">
        <v>33</v>
      </c>
      <c r="BX2" s="174"/>
      <c r="BY2" s="174">
        <v>34</v>
      </c>
      <c r="BZ2" s="174"/>
      <c r="CA2" s="174">
        <v>35</v>
      </c>
      <c r="CB2" s="174"/>
      <c r="CC2" s="174">
        <v>36</v>
      </c>
      <c r="CD2" s="174"/>
      <c r="CE2" s="174">
        <v>37</v>
      </c>
      <c r="CF2" s="174"/>
      <c r="CG2" s="174">
        <v>38</v>
      </c>
      <c r="CH2" s="174"/>
      <c r="CI2" s="174">
        <v>39</v>
      </c>
      <c r="CJ2" s="174"/>
      <c r="CK2" s="174">
        <v>40</v>
      </c>
      <c r="CL2" s="37"/>
      <c r="CM2" s="174">
        <v>41</v>
      </c>
      <c r="CN2" s="174"/>
      <c r="CO2" s="174">
        <v>42</v>
      </c>
      <c r="CP2" s="174"/>
      <c r="CQ2" s="174">
        <v>43</v>
      </c>
      <c r="CR2" s="174"/>
      <c r="CS2" s="174">
        <v>44</v>
      </c>
      <c r="CT2" s="174"/>
      <c r="CU2" s="174">
        <v>45</v>
      </c>
      <c r="CV2" s="174"/>
      <c r="CW2" s="174">
        <v>46</v>
      </c>
      <c r="CX2" s="174"/>
      <c r="CY2" s="174">
        <v>47</v>
      </c>
      <c r="CZ2" s="174"/>
      <c r="DA2" s="174">
        <v>48</v>
      </c>
      <c r="DB2" s="174"/>
      <c r="DC2" s="174">
        <v>49</v>
      </c>
      <c r="DD2" s="174"/>
      <c r="DE2" s="174">
        <v>50</v>
      </c>
      <c r="DF2" s="197"/>
      <c r="DG2" s="212" t="str">
        <f>CONCATENATE('Enter and Change Data Here'!G26," year")</f>
        <v>25 year</v>
      </c>
      <c r="DH2" s="197"/>
    </row>
    <row r="3" spans="2:112" ht="12.75">
      <c r="B3" s="3"/>
      <c r="C3" s="15" t="s">
        <v>155</v>
      </c>
      <c r="D3" s="2"/>
      <c r="E3" s="2"/>
      <c r="F3" s="2"/>
      <c r="G3" s="2"/>
      <c r="H3" s="32"/>
      <c r="I3" s="158">
        <f>'Enter and Change Data Here'!$G$12+'Cash Flow'!I2</f>
        <v>2004</v>
      </c>
      <c r="J3" s="2"/>
      <c r="K3" s="158">
        <f>'Enter and Change Data Here'!$G$12+'Cash Flow'!K2</f>
        <v>2005</v>
      </c>
      <c r="L3" s="2"/>
      <c r="M3" s="158">
        <f>'Enter and Change Data Here'!$G$12+'Cash Flow'!M2</f>
        <v>2006</v>
      </c>
      <c r="N3" s="2"/>
      <c r="O3" s="158">
        <f>'Enter and Change Data Here'!$G$12+'Cash Flow'!O2</f>
        <v>2007</v>
      </c>
      <c r="P3" s="2"/>
      <c r="Q3" s="158">
        <f>'Enter and Change Data Here'!$G$12+'Cash Flow'!Q2</f>
        <v>2008</v>
      </c>
      <c r="R3" s="2"/>
      <c r="S3" s="158">
        <f>'Enter and Change Data Here'!$G$12+'Cash Flow'!S2</f>
        <v>2009</v>
      </c>
      <c r="T3" s="2"/>
      <c r="U3" s="158">
        <f>'Enter and Change Data Here'!$G$12+'Cash Flow'!U2</f>
        <v>2010</v>
      </c>
      <c r="V3" s="2"/>
      <c r="W3" s="158">
        <f>'Enter and Change Data Here'!$G$12+'Cash Flow'!W2</f>
        <v>2011</v>
      </c>
      <c r="X3" s="2"/>
      <c r="Y3" s="158">
        <f>'Enter and Change Data Here'!$G$12+'Cash Flow'!Y2</f>
        <v>2012</v>
      </c>
      <c r="Z3" s="2"/>
      <c r="AA3" s="158">
        <f>'Enter and Change Data Here'!$G$12+'Cash Flow'!AA2</f>
        <v>2013</v>
      </c>
      <c r="AB3" s="2"/>
      <c r="AC3" s="158">
        <f>'Enter and Change Data Here'!$G$12+'Cash Flow'!AC2</f>
        <v>2014</v>
      </c>
      <c r="AD3" s="32"/>
      <c r="AE3" s="158">
        <f>'Enter and Change Data Here'!$G$12+'Cash Flow'!AE2</f>
        <v>2015</v>
      </c>
      <c r="AF3" s="2"/>
      <c r="AG3" s="158">
        <f>'Enter and Change Data Here'!$G$12+'Cash Flow'!AG2</f>
        <v>2016</v>
      </c>
      <c r="AH3" s="2"/>
      <c r="AI3" s="158">
        <f>'Enter and Change Data Here'!$G$12+'Cash Flow'!AI2</f>
        <v>2017</v>
      </c>
      <c r="AJ3" s="2"/>
      <c r="AK3" s="158">
        <f>'Enter and Change Data Here'!$G$12+'Cash Flow'!AK2</f>
        <v>2018</v>
      </c>
      <c r="AL3" s="2"/>
      <c r="AM3" s="158">
        <f>'Enter and Change Data Here'!$G$12+'Cash Flow'!AM2</f>
        <v>2019</v>
      </c>
      <c r="AO3" s="158">
        <f>'Enter and Change Data Here'!$G$12+'Cash Flow'!AO2</f>
        <v>2020</v>
      </c>
      <c r="AP3" s="2"/>
      <c r="AQ3" s="168">
        <f>'Enter and Change Data Here'!$G$12+'Cash Flow'!AQ2</f>
        <v>2021</v>
      </c>
      <c r="AR3" s="2"/>
      <c r="AS3" s="158">
        <f>'Enter and Change Data Here'!$G$12+'Cash Flow'!AS2</f>
        <v>2022</v>
      </c>
      <c r="AT3" s="2"/>
      <c r="AU3" s="158">
        <f>'Enter and Change Data Here'!$G$12+'Cash Flow'!AU2</f>
        <v>2023</v>
      </c>
      <c r="AV3" s="2"/>
      <c r="AW3" s="158">
        <f>'Enter and Change Data Here'!$G$12+'Cash Flow'!AW2</f>
        <v>2024</v>
      </c>
      <c r="AX3" s="32"/>
      <c r="AY3" s="158">
        <f>'Enter and Change Data Here'!$G$12+'Cash Flow'!AY2</f>
        <v>2025</v>
      </c>
      <c r="AZ3" s="2"/>
      <c r="BA3" s="158">
        <f>'Enter and Change Data Here'!$G$12+'Cash Flow'!BA2</f>
        <v>2026</v>
      </c>
      <c r="BB3" s="2"/>
      <c r="BC3" s="158">
        <f>'Enter and Change Data Here'!$G$12+'Cash Flow'!BC2</f>
        <v>2027</v>
      </c>
      <c r="BD3" s="2"/>
      <c r="BE3" s="158">
        <f>'Enter and Change Data Here'!$G$12+'Cash Flow'!BE2</f>
        <v>2028</v>
      </c>
      <c r="BF3" s="2"/>
      <c r="BG3" s="158">
        <f>'Enter and Change Data Here'!$G$12+'Cash Flow'!BG2</f>
        <v>2029</v>
      </c>
      <c r="BH3" s="2"/>
      <c r="BI3" s="158">
        <f>'Enter and Change Data Here'!$G$12+'Cash Flow'!BI2</f>
        <v>2030</v>
      </c>
      <c r="BJ3" s="2"/>
      <c r="BK3" s="158">
        <f>'Enter and Change Data Here'!$G$12+'Cash Flow'!BK2</f>
        <v>2031</v>
      </c>
      <c r="BL3" s="2"/>
      <c r="BM3" s="158">
        <f>'Enter and Change Data Here'!$G$12+'Cash Flow'!BM2</f>
        <v>2032</v>
      </c>
      <c r="BN3" s="2"/>
      <c r="BO3" s="158">
        <f>'Enter and Change Data Here'!$G$12+'Cash Flow'!BO2</f>
        <v>2033</v>
      </c>
      <c r="BP3" s="2"/>
      <c r="BQ3" s="158">
        <f>'Enter and Change Data Here'!$G$12+'Cash Flow'!BQ2</f>
        <v>2034</v>
      </c>
      <c r="BR3" s="32"/>
      <c r="BS3" s="158">
        <f>'Enter and Change Data Here'!$G$12+'Cash Flow'!BS2</f>
        <v>2035</v>
      </c>
      <c r="BT3" s="2"/>
      <c r="BU3" s="158">
        <f>'Enter and Change Data Here'!$G$12+'Cash Flow'!BU2</f>
        <v>2036</v>
      </c>
      <c r="BV3" s="2"/>
      <c r="BW3" s="158">
        <f>'Enter and Change Data Here'!$G$12+'Cash Flow'!BW2</f>
        <v>2037</v>
      </c>
      <c r="BX3" s="2"/>
      <c r="BY3" s="168">
        <f>'Enter and Change Data Here'!$G$12+'Cash Flow'!BY2</f>
        <v>2038</v>
      </c>
      <c r="BZ3" s="2"/>
      <c r="CA3" s="158">
        <f>'Enter and Change Data Here'!$G$12+'Cash Flow'!CA2</f>
        <v>2039</v>
      </c>
      <c r="CB3" s="2"/>
      <c r="CC3" s="158">
        <f>'Enter and Change Data Here'!$G$12+'Cash Flow'!CC2</f>
        <v>2040</v>
      </c>
      <c r="CD3" s="2"/>
      <c r="CE3" s="158">
        <f>'Enter and Change Data Here'!$G$12+'Cash Flow'!CE2</f>
        <v>2041</v>
      </c>
      <c r="CF3" s="2"/>
      <c r="CG3" s="158">
        <f>'Enter and Change Data Here'!$G$12+'Cash Flow'!CG2</f>
        <v>2042</v>
      </c>
      <c r="CH3" s="2"/>
      <c r="CI3" s="158">
        <f>'Enter and Change Data Here'!$G$12+'Cash Flow'!CI2</f>
        <v>2043</v>
      </c>
      <c r="CJ3" s="2"/>
      <c r="CK3" s="158">
        <f>'Enter and Change Data Here'!$G$12+'Cash Flow'!CK2</f>
        <v>2044</v>
      </c>
      <c r="CL3" s="32"/>
      <c r="CM3" s="158">
        <f>'Enter and Change Data Here'!$G$12+'Cash Flow'!CM2</f>
        <v>2045</v>
      </c>
      <c r="CN3" s="2"/>
      <c r="CO3" s="158">
        <f>'Enter and Change Data Here'!$G$12+'Cash Flow'!CO2</f>
        <v>2046</v>
      </c>
      <c r="CP3" s="2"/>
      <c r="CQ3" s="158">
        <f>'Enter and Change Data Here'!$G$12+'Cash Flow'!CQ2</f>
        <v>2047</v>
      </c>
      <c r="CR3" s="2"/>
      <c r="CS3" s="158">
        <f>'Enter and Change Data Here'!$G$12+'Cash Flow'!CS2</f>
        <v>2048</v>
      </c>
      <c r="CT3" s="2"/>
      <c r="CU3" s="158">
        <f>'Enter and Change Data Here'!$G$12+'Cash Flow'!CU2</f>
        <v>2049</v>
      </c>
      <c r="CW3" s="158">
        <f>'Enter and Change Data Here'!$G$12+'Cash Flow'!CW2</f>
        <v>2050</v>
      </c>
      <c r="CX3" s="2"/>
      <c r="CY3" s="158">
        <f>'Enter and Change Data Here'!$G$12+'Cash Flow'!CY2</f>
        <v>2051</v>
      </c>
      <c r="CZ3" s="2"/>
      <c r="DA3" s="158">
        <f>'Enter and Change Data Here'!$G$12+'Cash Flow'!DA2</f>
        <v>2052</v>
      </c>
      <c r="DB3" s="2"/>
      <c r="DC3" s="158">
        <f>'Enter and Change Data Here'!$G$12+'Cash Flow'!DC2</f>
        <v>2053</v>
      </c>
      <c r="DD3" s="2"/>
      <c r="DE3" s="158">
        <f>'Enter and Change Data Here'!$G$12+'Cash Flow'!DE2</f>
        <v>2054</v>
      </c>
      <c r="DF3" s="198"/>
      <c r="DG3" s="213" t="s">
        <v>198</v>
      </c>
      <c r="DH3" s="224"/>
    </row>
    <row r="4" spans="2:112" ht="12.75">
      <c r="B4" s="159"/>
      <c r="C4" s="160"/>
      <c r="D4" s="160"/>
      <c r="E4" s="160"/>
      <c r="F4" s="160"/>
      <c r="G4" s="160"/>
      <c r="H4" s="161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1"/>
      <c r="AE4" s="160"/>
      <c r="AF4" s="160"/>
      <c r="AG4" s="160"/>
      <c r="AH4" s="160"/>
      <c r="AI4" s="160"/>
      <c r="AJ4" s="160"/>
      <c r="AK4" s="160"/>
      <c r="AL4" s="160"/>
      <c r="AM4" s="160"/>
      <c r="AN4" s="195"/>
      <c r="AO4" s="160"/>
      <c r="AP4" s="160"/>
      <c r="AQ4" s="160"/>
      <c r="AR4" s="160"/>
      <c r="AS4" s="160"/>
      <c r="AT4" s="160"/>
      <c r="AU4" s="160"/>
      <c r="AV4" s="160"/>
      <c r="AW4" s="160"/>
      <c r="AX4" s="161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/>
      <c r="CM4" s="160"/>
      <c r="CN4" s="160"/>
      <c r="CO4" s="160"/>
      <c r="CP4" s="160"/>
      <c r="CQ4" s="160"/>
      <c r="CR4" s="160"/>
      <c r="CS4" s="160"/>
      <c r="CT4" s="160"/>
      <c r="CU4" s="160"/>
      <c r="CV4" s="195"/>
      <c r="CW4" s="160"/>
      <c r="CX4" s="160"/>
      <c r="CY4" s="160"/>
      <c r="CZ4" s="160"/>
      <c r="DA4" s="160"/>
      <c r="DB4" s="160"/>
      <c r="DC4" s="160"/>
      <c r="DD4" s="160"/>
      <c r="DE4" s="160"/>
      <c r="DF4" s="199"/>
      <c r="DG4" s="159"/>
      <c r="DH4" s="198"/>
    </row>
    <row r="5" spans="2:112" s="14" customFormat="1" ht="12.75">
      <c r="B5" s="177"/>
      <c r="C5" s="15" t="s">
        <v>156</v>
      </c>
      <c r="D5" s="15"/>
      <c r="E5" s="15"/>
      <c r="F5" s="15"/>
      <c r="G5" s="178" t="str">
        <f>CONCATENATE("(",'Enter and Change Data Here'!$G$13,")")</f>
        <v>($US)</v>
      </c>
      <c r="H5" s="179"/>
      <c r="I5" s="60">
        <f>0</f>
        <v>0</v>
      </c>
      <c r="J5" s="15"/>
      <c r="K5" s="181">
        <f>IF(K2&lt;='Enter and Change Data Here'!$G$26,'Enter and Change Data Here'!$O$37*(1+'Enter and Change Data Here'!$G$125/100)^I2*'Enter and Change Data Here'!G30/100+'Enter and Change Data Here'!G43,0)</f>
        <v>14772864</v>
      </c>
      <c r="L5" s="15"/>
      <c r="M5" s="181">
        <f>IF(M2&lt;='Enter and Change Data Here'!$G$26,'Enter and Change Data Here'!$O$37*(1+'Enter and Change Data Here'!$G$125/100)^K2*'Enter and Change Data Here'!G31/100,0)</f>
        <v>16675956.479999997</v>
      </c>
      <c r="N5" s="15"/>
      <c r="O5" s="181">
        <f>IF(O2&lt;='Enter and Change Data Here'!$G$26,'Enter and Change Data Here'!$O$37*(1+'Enter and Change Data Here'!$G$125/100)^M2*'Enter and Change Data Here'!G32/100,0)</f>
        <v>17729174.784</v>
      </c>
      <c r="P5" s="15"/>
      <c r="Q5" s="60">
        <f>IF(Q2&lt;='Enter and Change Data Here'!$G$26,'Enter and Change Data Here'!$O$37*(1+'Enter and Change Data Here'!$G$125/100)^O2,0)</f>
        <v>17906466.53184</v>
      </c>
      <c r="R5" s="15"/>
      <c r="S5" s="60">
        <f>IF(S2&lt;='Enter and Change Data Here'!$G$26,'Enter and Change Data Here'!$O$37*(1+'Enter and Change Data Here'!$G$125/100)^Q2,0)</f>
        <v>18085531.1971584</v>
      </c>
      <c r="T5" s="15"/>
      <c r="U5" s="60">
        <f>IF(U2&lt;='Enter and Change Data Here'!$G$26,'Enter and Change Data Here'!$O$37*(1+'Enter and Change Data Here'!$G$125/100)^S2,0)</f>
        <v>18266386.509129982</v>
      </c>
      <c r="V5" s="15"/>
      <c r="W5" s="60">
        <f>IF(W2&lt;='Enter and Change Data Here'!$G$26,'Enter and Change Data Here'!$O$37*(1+'Enter and Change Data Here'!$G$125/100)^U2,0)</f>
        <v>18449050.374221288</v>
      </c>
      <c r="X5" s="15"/>
      <c r="Y5" s="60">
        <f>IF(Y2&lt;='Enter and Change Data Here'!$G$26,'Enter and Change Data Here'!$O$37*(1+'Enter and Change Data Here'!$G$125/100)^W2,0)</f>
        <v>18633540.877963495</v>
      </c>
      <c r="Z5" s="15"/>
      <c r="AA5" s="60">
        <f>IF(AA2&lt;='Enter and Change Data Here'!$G$26,'Enter and Change Data Here'!$O$37*(1+'Enter and Change Data Here'!$G$125/100)^Y2,0)</f>
        <v>18819876.286743134</v>
      </c>
      <c r="AB5" s="15"/>
      <c r="AC5" s="60">
        <f>IF(AC2&lt;='Enter and Change Data Here'!$G$26,'Enter and Change Data Here'!$O$37*(1+'Enter and Change Data Here'!$G$125/100)^AA2,0)</f>
        <v>19008075.049610566</v>
      </c>
      <c r="AD5" s="179"/>
      <c r="AE5" s="60">
        <f>IF(AE2&lt;='Enter and Change Data Here'!$G$26,'Enter and Change Data Here'!$O$37*(1+'Enter and Change Data Here'!$G$125/100)^AC2,0)</f>
        <v>19198155.800106674</v>
      </c>
      <c r="AF5" s="15"/>
      <c r="AG5" s="60">
        <f>IF(AG2&lt;='Enter and Change Data Here'!$G$26,'Enter and Change Data Here'!$O$37*(1+'Enter and Change Data Here'!$G$125/100)^AE2,0)</f>
        <v>19390137.358107734</v>
      </c>
      <c r="AH5" s="15"/>
      <c r="AI5" s="60">
        <f>IF(AI2&lt;='Enter and Change Data Here'!$G$26,'Enter and Change Data Here'!$O$37*(1+'Enter and Change Data Here'!$G$125/100)^AG2,0)</f>
        <v>19584038.731688812</v>
      </c>
      <c r="AJ5" s="15"/>
      <c r="AK5" s="60">
        <f>IF(AK2&lt;='Enter and Change Data Here'!$G$26,'Enter and Change Data Here'!$O$37*(1+'Enter and Change Data Here'!$G$125/100)^AI2,0)</f>
        <v>19779879.119005702</v>
      </c>
      <c r="AL5" s="15"/>
      <c r="AM5" s="60">
        <f>IF(AM2&lt;='Enter and Change Data Here'!$G$26,'Enter and Change Data Here'!$O$37*(1+'Enter and Change Data Here'!$G$125/100)^AK2,0)</f>
        <v>19977677.91019576</v>
      </c>
      <c r="AN5" s="158"/>
      <c r="AO5" s="60">
        <f>IF(AO2&lt;='Enter and Change Data Here'!$G$26,'Enter and Change Data Here'!$O$37*(1+'Enter and Change Data Here'!$G$125/100)^AM2,0)</f>
        <v>20177454.689297713</v>
      </c>
      <c r="AP5" s="15"/>
      <c r="AQ5" s="60">
        <f>IF(AQ2&lt;='Enter and Change Data Here'!$G$26,'Enter and Change Data Here'!$O$37*(1+'Enter and Change Data Here'!$G$125/100)^AO2,0)</f>
        <v>20379229.236190695</v>
      </c>
      <c r="AR5" s="15"/>
      <c r="AS5" s="60">
        <f>IF(AS2&lt;='Enter and Change Data Here'!$G$26,'Enter and Change Data Here'!$O$37*(1+'Enter and Change Data Here'!$G$125/100)^AQ2,0)</f>
        <v>20583021.528552607</v>
      </c>
      <c r="AT5" s="15"/>
      <c r="AU5" s="60">
        <f>IF(AU2&lt;='Enter and Change Data Here'!$G$26,'Enter and Change Data Here'!$O$37*(1+'Enter and Change Data Here'!$G$125/100)^AS2,0)</f>
        <v>20788851.74383813</v>
      </c>
      <c r="AV5" s="15"/>
      <c r="AW5" s="60">
        <f>IF(AW2&lt;='Enter and Change Data Here'!$G$26,'Enter and Change Data Here'!$O$37*(1+'Enter and Change Data Here'!$G$125/100)^AU2,0)</f>
        <v>20996740.26127651</v>
      </c>
      <c r="AX5" s="179"/>
      <c r="AY5" s="60">
        <f>IF(AY2&lt;='Enter and Change Data Here'!$G$26,'Enter and Change Data Here'!$O$37*(1+'Enter and Change Data Here'!$G$125/100)^AW2,0)</f>
        <v>21206707.663889274</v>
      </c>
      <c r="AZ5" s="15"/>
      <c r="BA5" s="60">
        <f>IF(BA2&lt;='Enter and Change Data Here'!$G$26,'Enter and Change Data Here'!$O$37*(1+'Enter and Change Data Here'!$G$125/100)^AY2,0)</f>
        <v>21418774.740528166</v>
      </c>
      <c r="BB5" s="15"/>
      <c r="BC5" s="60">
        <f>IF(BC2&lt;='Enter and Change Data Here'!$G$26,'Enter and Change Data Here'!$O$37*(1+'Enter and Change Data Here'!$G$125/100)^BA2,0)</f>
        <v>21632962.487933453</v>
      </c>
      <c r="BD5" s="15"/>
      <c r="BE5" s="60">
        <f>IF(BE2&lt;='Enter and Change Data Here'!$G$26,'Enter and Change Data Here'!$O$37*(1+'Enter and Change Data Here'!$G$125/100)^BC2,0)</f>
        <v>21849292.112812784</v>
      </c>
      <c r="BF5" s="15"/>
      <c r="BG5" s="60">
        <f>IF(BG2&lt;='Enter and Change Data Here'!$G$26,'Enter and Change Data Here'!$O$37*(1+'Enter and Change Data Here'!$G$125/100)^BE2,0)</f>
        <v>22067785.03394092</v>
      </c>
      <c r="BH5" s="15"/>
      <c r="BI5" s="60">
        <f>IF(BI2&lt;='Enter and Change Data Here'!$G$26,'Enter and Change Data Here'!$O$37*(1+'Enter and Change Data Here'!$G$125/100)^BG2,0)</f>
        <v>0</v>
      </c>
      <c r="BJ5" s="15"/>
      <c r="BK5" s="60">
        <f>IF(BK2&lt;='Enter and Change Data Here'!$G$26,'Enter and Change Data Here'!$O$37*(1+'Enter and Change Data Here'!$G$125/100)^BI2,0)</f>
        <v>0</v>
      </c>
      <c r="BL5" s="15"/>
      <c r="BM5" s="60">
        <f>IF(BM2&lt;='Enter and Change Data Here'!$G$26,'Enter and Change Data Here'!$O$37*(1+'Enter and Change Data Here'!$G$125/100)^BK2,0)</f>
        <v>0</v>
      </c>
      <c r="BN5" s="15"/>
      <c r="BO5" s="60">
        <f>IF(BO2&lt;='Enter and Change Data Here'!$G$26,'Enter and Change Data Here'!$O$37*(1+'Enter and Change Data Here'!$G$125/100)^BM2,0)</f>
        <v>0</v>
      </c>
      <c r="BP5" s="15"/>
      <c r="BQ5" s="60">
        <f>IF(BQ2&lt;='Enter and Change Data Here'!$G$26,'Enter and Change Data Here'!$O$37*(1+'Enter and Change Data Here'!$G$125/100)^BO2,0)</f>
        <v>0</v>
      </c>
      <c r="BR5" s="179"/>
      <c r="BS5" s="60">
        <f>IF(BS2&lt;='Enter and Change Data Here'!$G$26,'Enter and Change Data Here'!$O$37*(1+'Enter and Change Data Here'!$G$125/100)^BQ2,0)</f>
        <v>0</v>
      </c>
      <c r="BT5" s="15"/>
      <c r="BU5" s="60">
        <f>IF(BU2&lt;='Enter and Change Data Here'!$G$26,'Enter and Change Data Here'!$O$37*(1+'Enter and Change Data Here'!$G$125/100)^BS2,0)</f>
        <v>0</v>
      </c>
      <c r="BV5" s="15"/>
      <c r="BW5" s="60">
        <f>IF(BW2&lt;='Enter and Change Data Here'!$G$26,'Enter and Change Data Here'!$O$37*(1+'Enter and Change Data Here'!$G$125/100)^BU2,0)</f>
        <v>0</v>
      </c>
      <c r="BX5" s="15"/>
      <c r="BY5" s="60">
        <f>IF(BY2&lt;='Enter and Change Data Here'!$G$26,'Enter and Change Data Here'!$O$37*(1+'Enter and Change Data Here'!$G$125/100)^BW2,0)</f>
        <v>0</v>
      </c>
      <c r="BZ5" s="15"/>
      <c r="CA5" s="60">
        <f>IF(CA2&lt;='Enter and Change Data Here'!$G$26,'Enter and Change Data Here'!$O$37*(1+'Enter and Change Data Here'!$G$125/100)^BY2,0)</f>
        <v>0</v>
      </c>
      <c r="CB5" s="15"/>
      <c r="CC5" s="60">
        <f>IF(CC2&lt;='Enter and Change Data Here'!$G$26,'Enter and Change Data Here'!$O$37*(1+'Enter and Change Data Here'!$G$125/100)^CA2,0)</f>
        <v>0</v>
      </c>
      <c r="CD5" s="15"/>
      <c r="CE5" s="60">
        <f>IF(CE2&lt;='Enter and Change Data Here'!$G$26,'Enter and Change Data Here'!$O$37*(1+'Enter and Change Data Here'!$G$125/100)^CC2,0)</f>
        <v>0</v>
      </c>
      <c r="CF5" s="15"/>
      <c r="CG5" s="60">
        <f>IF(CG2&lt;='Enter and Change Data Here'!$G$26,'Enter and Change Data Here'!$O$37*(1+'Enter and Change Data Here'!$G$125/100)^CE2,0)</f>
        <v>0</v>
      </c>
      <c r="CH5" s="15"/>
      <c r="CI5" s="60">
        <f>IF(CI2&lt;='Enter and Change Data Here'!$G$26,'Enter and Change Data Here'!$O$37*(1+'Enter and Change Data Here'!$G$125/100)^CG2,0)</f>
        <v>0</v>
      </c>
      <c r="CJ5" s="15"/>
      <c r="CK5" s="60">
        <f>IF(CK2&lt;='Enter and Change Data Here'!$G$26,'Enter and Change Data Here'!$O$37*(1+'Enter and Change Data Here'!$G$125/100)^CI2,0)</f>
        <v>0</v>
      </c>
      <c r="CL5" s="179"/>
      <c r="CM5" s="60">
        <f>IF(CM2&lt;='Enter and Change Data Here'!$G$26,'Enter and Change Data Here'!$O$37*(1+'Enter and Change Data Here'!$G$125/100)^CK2,0)</f>
        <v>0</v>
      </c>
      <c r="CN5" s="15"/>
      <c r="CO5" s="60">
        <f>IF(CO2&lt;='Enter and Change Data Here'!$G$26,'Enter and Change Data Here'!$O$37*(1+'Enter and Change Data Here'!$G$125/100)^CM2,0)</f>
        <v>0</v>
      </c>
      <c r="CP5" s="15"/>
      <c r="CQ5" s="60">
        <f>IF(CQ2&lt;='Enter and Change Data Here'!$G$26,'Enter and Change Data Here'!$O$37*(1+'Enter and Change Data Here'!$G$125/100)^CO2,0)</f>
        <v>0</v>
      </c>
      <c r="CR5" s="15"/>
      <c r="CS5" s="60">
        <f>IF(CS2&lt;='Enter and Change Data Here'!$G$26,'Enter and Change Data Here'!$O$37*(1+'Enter and Change Data Here'!$G$125/100)^CQ2,0)</f>
        <v>0</v>
      </c>
      <c r="CT5" s="15"/>
      <c r="CU5" s="60">
        <f>IF(CU2&lt;='Enter and Change Data Here'!$G$26,'Enter and Change Data Here'!$O$37*(1+'Enter and Change Data Here'!$G$125/100)^CS2,0)</f>
        <v>0</v>
      </c>
      <c r="CV5" s="158"/>
      <c r="CW5" s="60">
        <f>IF(CW2&lt;='Enter and Change Data Here'!$G$26,'Enter and Change Data Here'!$O$37*(1+'Enter and Change Data Here'!$G$125/100)^CU2,0)</f>
        <v>0</v>
      </c>
      <c r="CX5" s="15"/>
      <c r="CY5" s="60">
        <f>IF(CY2&lt;='Enter and Change Data Here'!$G$26,'Enter and Change Data Here'!$O$37*(1+'Enter and Change Data Here'!$G$125/100)^CW2,0)</f>
        <v>0</v>
      </c>
      <c r="CZ5" s="15"/>
      <c r="DA5" s="60">
        <f>IF(DA2&lt;='Enter and Change Data Here'!$G$26,'Enter and Change Data Here'!$O$37*(1+'Enter and Change Data Here'!$G$125/100)^CY2,0)</f>
        <v>0</v>
      </c>
      <c r="DB5" s="15"/>
      <c r="DC5" s="60">
        <f>IF(DC2&lt;='Enter and Change Data Here'!$G$26,'Enter and Change Data Here'!$O$37*(1+'Enter and Change Data Here'!$G$125/100)^DA2,0)</f>
        <v>0</v>
      </c>
      <c r="DD5" s="15"/>
      <c r="DE5" s="60">
        <f>IF(DE2&lt;='Enter and Change Data Here'!$G$26,'Enter and Change Data Here'!$O$37*(1+'Enter and Change Data Here'!$G$125/100)^DC2,0)</f>
        <v>0</v>
      </c>
      <c r="DF5" s="200"/>
      <c r="DG5" s="214"/>
      <c r="DH5" s="200"/>
    </row>
    <row r="6" spans="2:112" ht="12.75">
      <c r="B6" s="3"/>
      <c r="C6" s="2"/>
      <c r="D6" s="2"/>
      <c r="E6" s="2"/>
      <c r="F6" s="2"/>
      <c r="G6" s="2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2"/>
      <c r="AE6" s="2"/>
      <c r="AF6" s="2"/>
      <c r="AG6" s="2"/>
      <c r="AH6" s="2"/>
      <c r="AI6" s="2"/>
      <c r="AJ6" s="2"/>
      <c r="AK6" s="2"/>
      <c r="AL6" s="2"/>
      <c r="AM6" s="2"/>
      <c r="AO6" s="2"/>
      <c r="AP6" s="2"/>
      <c r="AQ6" s="2"/>
      <c r="AR6" s="2"/>
      <c r="AS6" s="2"/>
      <c r="AT6" s="2"/>
      <c r="AU6" s="2"/>
      <c r="AV6" s="2"/>
      <c r="AW6" s="2"/>
      <c r="AX6" s="3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32"/>
      <c r="CM6" s="2"/>
      <c r="CN6" s="2"/>
      <c r="CO6" s="2"/>
      <c r="CP6" s="2"/>
      <c r="CQ6" s="2"/>
      <c r="CR6" s="2"/>
      <c r="CS6" s="2"/>
      <c r="CT6" s="2"/>
      <c r="CU6" s="2"/>
      <c r="CW6" s="2"/>
      <c r="CX6" s="2"/>
      <c r="CY6" s="2"/>
      <c r="CZ6" s="2"/>
      <c r="DA6" s="2"/>
      <c r="DB6" s="2"/>
      <c r="DC6" s="2"/>
      <c r="DD6" s="2"/>
      <c r="DE6" s="2"/>
      <c r="DF6" s="198"/>
      <c r="DG6" s="3"/>
      <c r="DH6" s="198"/>
    </row>
    <row r="7" spans="2:112" ht="12.75">
      <c r="B7" s="3"/>
      <c r="C7" s="2" t="s">
        <v>157</v>
      </c>
      <c r="D7" s="2"/>
      <c r="E7" s="2"/>
      <c r="F7" s="2"/>
      <c r="G7" s="150" t="str">
        <f>CONCATENATE("(",'Enter and Change Data Here'!$G$13,")")</f>
        <v>($US)</v>
      </c>
      <c r="H7" s="32"/>
      <c r="I7" s="139">
        <f>0</f>
        <v>0</v>
      </c>
      <c r="J7" s="2"/>
      <c r="K7" s="139">
        <f>-IF(K2&lt;='Enter and Change Data Here'!$G$26,'Enter and Change Data Here'!$O$38*(1+'Enter and Change Data Here'!$G$126/100)^'Cash Flow'!I2,0)</f>
        <v>-2350000</v>
      </c>
      <c r="L7" s="2"/>
      <c r="M7" s="139">
        <f>-IF(M2&lt;='Enter and Change Data Here'!$G$26,'Enter and Change Data Here'!$O$38*(1+'Enter and Change Data Here'!$G$126/100)^'Cash Flow'!K2,0)</f>
        <v>-2397000</v>
      </c>
      <c r="N7" s="2"/>
      <c r="O7" s="139">
        <f>-IF(O2&lt;='Enter and Change Data Here'!$G$26,'Enter and Change Data Here'!$O$38*(1+'Enter and Change Data Here'!$G$126/100)^'Cash Flow'!M2,0)</f>
        <v>-2444940</v>
      </c>
      <c r="P7" s="2"/>
      <c r="Q7" s="139">
        <f>-IF(Q2&lt;='Enter and Change Data Here'!$G$26,'Enter and Change Data Here'!$O$38*(1+'Enter and Change Data Here'!$G$126/100)^'Cash Flow'!O2,0)</f>
        <v>-2493838.8</v>
      </c>
      <c r="R7" s="2"/>
      <c r="S7" s="139">
        <f>-IF(S2&lt;='Enter and Change Data Here'!$G$26,'Enter and Change Data Here'!$O$38*(1+'Enter and Change Data Here'!$G$126/100)^'Cash Flow'!Q2,0)</f>
        <v>-2543715.576</v>
      </c>
      <c r="T7" s="2"/>
      <c r="U7" s="139">
        <f>-IF(U2&lt;='Enter and Change Data Here'!$G$26,'Enter and Change Data Here'!$O$38*(1+'Enter and Change Data Here'!$G$126/100)^'Cash Flow'!S2,0)</f>
        <v>-2594589.88752</v>
      </c>
      <c r="V7" s="2"/>
      <c r="W7" s="139">
        <f>-IF(W2&lt;='Enter and Change Data Here'!$G$26,'Enter and Change Data Here'!$O$38*(1+'Enter and Change Data Here'!$G$126/100)^'Cash Flow'!U2,0)</f>
        <v>-2646481.6852704003</v>
      </c>
      <c r="X7" s="2"/>
      <c r="Y7" s="139">
        <f>-IF(Y2&lt;='Enter and Change Data Here'!$G$26,'Enter and Change Data Here'!$O$38*(1+'Enter and Change Data Here'!$G$126/100)^'Cash Flow'!W2,0)</f>
        <v>-2699411.3189758076</v>
      </c>
      <c r="Z7" s="2"/>
      <c r="AA7" s="139">
        <f>-IF(AA2&lt;='Enter and Change Data Here'!$G$26,'Enter and Change Data Here'!$O$38*(1+'Enter and Change Data Here'!$G$126/100)^'Cash Flow'!Y2,0)</f>
        <v>-2753399.545355324</v>
      </c>
      <c r="AB7" s="2"/>
      <c r="AC7" s="139">
        <f>-IF(AC2&lt;='Enter and Change Data Here'!$G$26,'Enter and Change Data Here'!$O$38*(1+'Enter and Change Data Here'!$G$126/100)^'Cash Flow'!AA2,0)</f>
        <v>-2808467.5362624303</v>
      </c>
      <c r="AD7" s="32"/>
      <c r="AE7" s="139">
        <f>-IF(AE2&lt;='Enter and Change Data Here'!$G$26,'Enter and Change Data Here'!$O$38*(1+'Enter and Change Data Here'!$G$126/100)^'Cash Flow'!AC2,0)</f>
        <v>-2864636.886987679</v>
      </c>
      <c r="AF7" s="2"/>
      <c r="AG7" s="139">
        <f>-IF(AG2&lt;='Enter and Change Data Here'!$G$26,'Enter and Change Data Here'!$O$38*(1+'Enter and Change Data Here'!$G$126/100)^'Cash Flow'!AE2,0)</f>
        <v>-2921929.624727432</v>
      </c>
      <c r="AH7" s="2"/>
      <c r="AI7" s="139">
        <f>-IF(AI2&lt;='Enter and Change Data Here'!$G$26,'Enter and Change Data Here'!$O$38*(1+'Enter and Change Data Here'!$G$126/100)^'Cash Flow'!AG2,0)</f>
        <v>-2980368.2172219814</v>
      </c>
      <c r="AJ7" s="2"/>
      <c r="AK7" s="139">
        <f>-IF(AK2&lt;='Enter and Change Data Here'!$G$26,'Enter and Change Data Here'!$O$38*(1+'Enter and Change Data Here'!$G$126/100)^'Cash Flow'!AI2,0)</f>
        <v>-3039975.581566421</v>
      </c>
      <c r="AL7" s="2"/>
      <c r="AM7" s="139">
        <f>-IF(AM2&lt;='Enter and Change Data Here'!$G$26,'Enter and Change Data Here'!$O$38*(1+'Enter and Change Data Here'!$G$126/100)^'Cash Flow'!AK2,0)</f>
        <v>-3100775.0931977495</v>
      </c>
      <c r="AO7" s="139">
        <f>-IF(AO2&lt;='Enter and Change Data Here'!$G$26,'Enter and Change Data Here'!$O$38*(1+'Enter and Change Data Here'!$G$126/100)^'Cash Flow'!AM2,0)</f>
        <v>-3162790.5950617036</v>
      </c>
      <c r="AP7" s="2"/>
      <c r="AQ7" s="139">
        <f>-IF(AQ2&lt;='Enter and Change Data Here'!$G$26,'Enter and Change Data Here'!$O$38*(1+'Enter and Change Data Here'!$G$126/100)^'Cash Flow'!AO2,0)</f>
        <v>-3226046.406962938</v>
      </c>
      <c r="AR7" s="2"/>
      <c r="AS7" s="139">
        <f>-IF(AS2&lt;='Enter and Change Data Here'!$G$26,'Enter and Change Data Here'!$O$38*(1+'Enter and Change Data Here'!$G$126/100)^'Cash Flow'!AQ2,0)</f>
        <v>-3290567.3351021972</v>
      </c>
      <c r="AT7" s="2"/>
      <c r="AU7" s="139">
        <f>-IF(AU2&lt;='Enter and Change Data Here'!$G$26,'Enter and Change Data Here'!$O$38*(1+'Enter and Change Data Here'!$G$126/100)^'Cash Flow'!AS2,0)</f>
        <v>-3356378.6818042407</v>
      </c>
      <c r="AV7" s="2"/>
      <c r="AW7" s="139">
        <f>-IF(AW2&lt;='Enter and Change Data Here'!$G$26,'Enter and Change Data Here'!$O$38*(1+'Enter and Change Data Here'!$G$126/100)^'Cash Flow'!AU2,0)</f>
        <v>-3423506.2554403255</v>
      </c>
      <c r="AX7" s="32"/>
      <c r="AY7" s="139">
        <f>-IF(AY2&lt;='Enter and Change Data Here'!$G$26,'Enter and Change Data Here'!$O$38*(1+'Enter and Change Data Here'!$G$126/100)^'Cash Flow'!AW2,0)</f>
        <v>-3491976.3805491324</v>
      </c>
      <c r="AZ7" s="2"/>
      <c r="BA7" s="139">
        <f>-IF(BA2&lt;='Enter and Change Data Here'!$G$26,'Enter and Change Data Here'!$O$38*(1+'Enter and Change Data Here'!$G$126/100)^'Cash Flow'!AY2,0)</f>
        <v>-3561815.9081601147</v>
      </c>
      <c r="BB7" s="2"/>
      <c r="BC7" s="139">
        <f>-IF(BC2&lt;='Enter and Change Data Here'!$G$26,'Enter and Change Data Here'!$O$38*(1+'Enter and Change Data Here'!$G$126/100)^'Cash Flow'!BA2,0)</f>
        <v>-3633052.2263233173</v>
      </c>
      <c r="BD7" s="2"/>
      <c r="BE7" s="139">
        <f>-IF(BE2&lt;='Enter and Change Data Here'!$G$26,'Enter and Change Data Here'!$O$38*(1+'Enter and Change Data Here'!$G$126/100)^'Cash Flow'!BC2,0)</f>
        <v>-3705713.270849783</v>
      </c>
      <c r="BF7" s="2"/>
      <c r="BG7" s="139">
        <f>-IF(BG2&lt;='Enter and Change Data Here'!$G$26,'Enter and Change Data Here'!$O$38*(1+'Enter and Change Data Here'!$G$126/100)^'Cash Flow'!BE2,0)</f>
        <v>-3779827.536266779</v>
      </c>
      <c r="BH7" s="2"/>
      <c r="BI7" s="139">
        <f>-IF(BI2&lt;='Enter and Change Data Here'!$G$26,'Enter and Change Data Here'!$O$38*(1+'Enter and Change Data Here'!$G$126/100)^'Cash Flow'!BG2,0)</f>
        <v>0</v>
      </c>
      <c r="BJ7" s="2"/>
      <c r="BK7" s="139">
        <f>-IF(BK2&lt;='Enter and Change Data Here'!$G$26,'Enter and Change Data Here'!$O$38*(1+'Enter and Change Data Here'!$G$126/100)^'Cash Flow'!BI2,0)</f>
        <v>0</v>
      </c>
      <c r="BL7" s="2"/>
      <c r="BM7" s="139">
        <f>-IF(BM2&lt;='Enter and Change Data Here'!$G$26,'Enter and Change Data Here'!$O$38*(1+'Enter and Change Data Here'!$G$126/100)^'Cash Flow'!BK2,0)</f>
        <v>0</v>
      </c>
      <c r="BN7" s="2"/>
      <c r="BO7" s="139">
        <f>-IF(BO2&lt;='Enter and Change Data Here'!$G$26,'Enter and Change Data Here'!$O$38*(1+'Enter and Change Data Here'!$G$126/100)^'Cash Flow'!BM2,0)</f>
        <v>0</v>
      </c>
      <c r="BP7" s="2"/>
      <c r="BQ7" s="139">
        <f>-IF(BQ2&lt;='Enter and Change Data Here'!$G$26,'Enter and Change Data Here'!$O$38*(1+'Enter and Change Data Here'!$G$126/100)^'Cash Flow'!BO2,0)</f>
        <v>0</v>
      </c>
      <c r="BR7" s="32"/>
      <c r="BS7" s="139">
        <f>-IF(BS2&lt;='Enter and Change Data Here'!$G$26,'Enter and Change Data Here'!$O$38*(1+'Enter and Change Data Here'!$G$126/100)^'Cash Flow'!BQ2,0)</f>
        <v>0</v>
      </c>
      <c r="BT7" s="2"/>
      <c r="BU7" s="139">
        <f>-IF(BU2&lt;='Enter and Change Data Here'!$G$26,'Enter and Change Data Here'!$O$38*(1+'Enter and Change Data Here'!$G$126/100)^'Cash Flow'!BS2,0)</f>
        <v>0</v>
      </c>
      <c r="BV7" s="2"/>
      <c r="BW7" s="139">
        <f>-IF(BW2&lt;='Enter and Change Data Here'!$G$26,'Enter and Change Data Here'!$O$38*(1+'Enter and Change Data Here'!$G$126/100)^'Cash Flow'!BU2,0)</f>
        <v>0</v>
      </c>
      <c r="BX7" s="2"/>
      <c r="BY7" s="139">
        <f>-IF(BY2&lt;='Enter and Change Data Here'!$G$26,'Enter and Change Data Here'!$O$38*(1+'Enter and Change Data Here'!$G$126/100)^'Cash Flow'!BW2,0)</f>
        <v>0</v>
      </c>
      <c r="BZ7" s="2"/>
      <c r="CA7" s="139">
        <f>-IF(CA2&lt;='Enter and Change Data Here'!$G$26,'Enter and Change Data Here'!$O$38*(1+'Enter and Change Data Here'!$G$126/100)^'Cash Flow'!BY2,0)</f>
        <v>0</v>
      </c>
      <c r="CB7" s="2"/>
      <c r="CC7" s="139">
        <f>-IF(CC2&lt;='Enter and Change Data Here'!$G$26,'Enter and Change Data Here'!$O$38*(1+'Enter and Change Data Here'!$G$126/100)^'Cash Flow'!CA2,0)</f>
        <v>0</v>
      </c>
      <c r="CD7" s="2"/>
      <c r="CE7" s="139">
        <f>-IF(CE2&lt;='Enter and Change Data Here'!$G$26,'Enter and Change Data Here'!$O$38*(1+'Enter and Change Data Here'!$G$126/100)^'Cash Flow'!CC2,0)</f>
        <v>0</v>
      </c>
      <c r="CF7" s="2"/>
      <c r="CG7" s="139">
        <f>-IF(CG2&lt;='Enter and Change Data Here'!$G$26,'Enter and Change Data Here'!$O$38*(1+'Enter and Change Data Here'!$G$126/100)^'Cash Flow'!CE2,0)</f>
        <v>0</v>
      </c>
      <c r="CH7" s="2"/>
      <c r="CI7" s="139">
        <f>-IF(CI2&lt;='Enter and Change Data Here'!$G$26,'Enter and Change Data Here'!$O$38*(1+'Enter and Change Data Here'!$G$126/100)^'Cash Flow'!CG2,0)</f>
        <v>0</v>
      </c>
      <c r="CJ7" s="2"/>
      <c r="CK7" s="139">
        <f>-IF(CK2&lt;='Enter and Change Data Here'!$G$26,'Enter and Change Data Here'!$O$38*(1+'Enter and Change Data Here'!$G$126/100)^'Cash Flow'!CI2,0)</f>
        <v>0</v>
      </c>
      <c r="CL7" s="32"/>
      <c r="CM7" s="139">
        <f>-IF(CM2&lt;='Enter and Change Data Here'!$G$26,'Enter and Change Data Here'!$O$38*(1+'Enter and Change Data Here'!$G$126/100)^'Cash Flow'!CK2,0)</f>
        <v>0</v>
      </c>
      <c r="CN7" s="2"/>
      <c r="CO7" s="139">
        <f>-IF(CO2&lt;='Enter and Change Data Here'!$G$26,'Enter and Change Data Here'!$O$38*(1+'Enter and Change Data Here'!$G$126/100)^'Cash Flow'!CM2,0)</f>
        <v>0</v>
      </c>
      <c r="CP7" s="2"/>
      <c r="CQ7" s="139">
        <f>-IF(CQ2&lt;='Enter and Change Data Here'!$G$26,'Enter and Change Data Here'!$O$38*(1+'Enter and Change Data Here'!$G$126/100)^'Cash Flow'!CO2,0)</f>
        <v>0</v>
      </c>
      <c r="CR7" s="2"/>
      <c r="CS7" s="139">
        <f>-IF(CS2&lt;='Enter and Change Data Here'!$G$26,'Enter and Change Data Here'!$O$38*(1+'Enter and Change Data Here'!$G$126/100)^'Cash Flow'!CQ2,0)</f>
        <v>0</v>
      </c>
      <c r="CT7" s="2"/>
      <c r="CU7" s="139">
        <f>-IF(CU2&lt;='Enter and Change Data Here'!$G$26,'Enter and Change Data Here'!$O$38*(1+'Enter and Change Data Here'!$G$126/100)^'Cash Flow'!CS2,0)</f>
        <v>0</v>
      </c>
      <c r="CW7" s="139">
        <f>-IF(CW2&lt;='Enter and Change Data Here'!$G$26,'Enter and Change Data Here'!$O$38*(1+'Enter and Change Data Here'!$G$126/100)^'Cash Flow'!CU2,0)</f>
        <v>0</v>
      </c>
      <c r="CX7" s="2"/>
      <c r="CY7" s="139">
        <f>-IF(CY2&lt;='Enter and Change Data Here'!$G$26,'Enter and Change Data Here'!$O$38*(1+'Enter and Change Data Here'!$G$126/100)^'Cash Flow'!CW2,0)</f>
        <v>0</v>
      </c>
      <c r="CZ7" s="2"/>
      <c r="DA7" s="139">
        <f>-IF(DA2&lt;='Enter and Change Data Here'!$G$26,'Enter and Change Data Here'!$O$38*(1+'Enter and Change Data Here'!$G$126/100)^'Cash Flow'!CY2,0)</f>
        <v>0</v>
      </c>
      <c r="DB7" s="2"/>
      <c r="DC7" s="139">
        <f>-IF(DC2&lt;='Enter and Change Data Here'!$G$26,'Enter and Change Data Here'!$O$38*(1+'Enter and Change Data Here'!$G$126/100)^'Cash Flow'!DA2,0)</f>
        <v>0</v>
      </c>
      <c r="DD7" s="2"/>
      <c r="DE7" s="139">
        <f>-IF(DE2&lt;='Enter and Change Data Here'!$G$26,'Enter and Change Data Here'!$O$38*(1+'Enter and Change Data Here'!$G$126/100)^'Cash Flow'!DC2,0)</f>
        <v>0</v>
      </c>
      <c r="DF7" s="198"/>
      <c r="DG7" s="215">
        <f>SUM(I7:DE7)</f>
        <v>-75271204.34960575</v>
      </c>
      <c r="DH7" s="198"/>
    </row>
    <row r="8" spans="2:112" ht="12.75">
      <c r="B8" s="3"/>
      <c r="C8" s="2" t="s">
        <v>28</v>
      </c>
      <c r="D8" s="2"/>
      <c r="E8" s="2"/>
      <c r="F8" s="2"/>
      <c r="G8" s="150" t="str">
        <f>CONCATENATE("(",'Enter and Change Data Here'!$G$13,")")</f>
        <v>($US)</v>
      </c>
      <c r="H8" s="32"/>
      <c r="I8" s="139">
        <f>-('Enter and Change Data Here'!G135-'Enter and Change Data Here'!G136)</f>
        <v>-3000000</v>
      </c>
      <c r="J8" s="2"/>
      <c r="K8" s="139">
        <f>-IF(K2&lt;='Enter and Change Data Here'!$G$26,'Enter and Change Data Here'!$O$42*(1+'Enter and Change Data Here'!$G$127/100)^'Cash Flow'!I2,0)</f>
        <v>-936000</v>
      </c>
      <c r="L8" s="2"/>
      <c r="M8" s="139">
        <f>-IF(M2&lt;='Enter and Change Data Here'!$G$26,'Enter and Change Data Here'!$O$42*(1+'Enter and Change Data Here'!$G$127/100)^'Cash Flow'!K2,0)</f>
        <v>-954720</v>
      </c>
      <c r="N8" s="2"/>
      <c r="O8" s="139">
        <f>-IF(O2&lt;='Enter and Change Data Here'!$G$26,'Enter and Change Data Here'!$O$42*(1+'Enter and Change Data Here'!$G$127/100)^'Cash Flow'!M2,0)</f>
        <v>-973814.4</v>
      </c>
      <c r="P8" s="2"/>
      <c r="Q8" s="139">
        <f>-IF(Q2&lt;='Enter and Change Data Here'!$G$26,'Enter and Change Data Here'!$O$42*(1+'Enter and Change Data Here'!$G$127/100)^'Cash Flow'!O2,0)</f>
        <v>-993290.688</v>
      </c>
      <c r="R8" s="2"/>
      <c r="S8" s="139">
        <f>-IF(S2&lt;='Enter and Change Data Here'!$G$26,'Enter and Change Data Here'!$O$42*(1+'Enter and Change Data Here'!$G$127/100)^'Cash Flow'!Q2,0)</f>
        <v>-1013156.50176</v>
      </c>
      <c r="T8" s="2"/>
      <c r="U8" s="139">
        <f>-IF(U2&lt;='Enter and Change Data Here'!$G$26,'Enter and Change Data Here'!$O$42*(1+'Enter and Change Data Here'!$G$127/100)^'Cash Flow'!S2,0)</f>
        <v>-1033419.6317952</v>
      </c>
      <c r="V8" s="2"/>
      <c r="W8" s="139">
        <f>-IF(W2&lt;='Enter and Change Data Here'!$G$26,'Enter and Change Data Here'!$O$42*(1+'Enter and Change Data Here'!$G$127/100)^'Cash Flow'!U2,0)</f>
        <v>-1054088.024431104</v>
      </c>
      <c r="X8" s="2"/>
      <c r="Y8" s="139">
        <f>-IF(Y2&lt;='Enter and Change Data Here'!$G$26,'Enter and Change Data Here'!$O$42*(1+'Enter and Change Data Here'!$G$127/100)^'Cash Flow'!W2,0)</f>
        <v>-1075169.784919726</v>
      </c>
      <c r="Z8" s="2"/>
      <c r="AA8" s="139">
        <f>-IF(AA2&lt;='Enter and Change Data Here'!$G$26,'Enter and Change Data Here'!$O$42*(1+'Enter and Change Data Here'!$G$127/100)^'Cash Flow'!Y2,0)</f>
        <v>-1096673.1806181206</v>
      </c>
      <c r="AB8" s="2"/>
      <c r="AC8" s="139">
        <f>-IF(AC2&lt;='Enter and Change Data Here'!$G$26,'Enter and Change Data Here'!$O$42*(1+'Enter and Change Data Here'!$G$127/100)^'Cash Flow'!AA2,0)</f>
        <v>-1118606.6442304829</v>
      </c>
      <c r="AD8" s="32"/>
      <c r="AE8" s="139">
        <f>-IF(AE2&lt;='Enter and Change Data Here'!$G$26,'Enter and Change Data Here'!$O$42*(1+'Enter and Change Data Here'!$G$127/100)^'Cash Flow'!AC2,0)</f>
        <v>-1140978.7771150926</v>
      </c>
      <c r="AF8" s="2"/>
      <c r="AG8" s="139">
        <f>-IF(AG2&lt;='Enter and Change Data Here'!$G$26,'Enter and Change Data Here'!$O$42*(1+'Enter and Change Data Here'!$G$127/100)^'Cash Flow'!AE2,0)</f>
        <v>-1163798.3526573943</v>
      </c>
      <c r="AH8" s="2"/>
      <c r="AI8" s="139">
        <f>-IF(AI2&lt;='Enter and Change Data Here'!$G$26,'Enter and Change Data Here'!$O$42*(1+'Enter and Change Data Here'!$G$127/100)^'Cash Flow'!AG2,0)</f>
        <v>-1187074.3197105424</v>
      </c>
      <c r="AJ8" s="2"/>
      <c r="AK8" s="139">
        <f>-IF(AK2&lt;='Enter and Change Data Here'!$G$26,'Enter and Change Data Here'!$O$42*(1+'Enter and Change Data Here'!$G$127/100)^'Cash Flow'!AI2,0)</f>
        <v>-1210815.8061047532</v>
      </c>
      <c r="AL8" s="2"/>
      <c r="AM8" s="139">
        <f>-IF(AM2&lt;='Enter and Change Data Here'!$G$26,'Enter and Change Data Here'!$O$42*(1+'Enter and Change Data Here'!$G$127/100)^'Cash Flow'!AK2,0)</f>
        <v>-1235032.1222268483</v>
      </c>
      <c r="AO8" s="139">
        <f>-IF(AO2&lt;='Enter and Change Data Here'!$G$26,'Enter and Change Data Here'!$O$42*(1+'Enter and Change Data Here'!$G$127/100)^'Cash Flow'!AM2,0)</f>
        <v>-1259732.764671385</v>
      </c>
      <c r="AP8" s="2"/>
      <c r="AQ8" s="139">
        <f>-IF(AQ2&lt;='Enter and Change Data Here'!$G$26,'Enter and Change Data Here'!$O$42*(1+'Enter and Change Data Here'!$G$127/100)^'Cash Flow'!AO2,0)</f>
        <v>-1284927.419964813</v>
      </c>
      <c r="AR8" s="2"/>
      <c r="AS8" s="139">
        <f>-IF(AS2&lt;='Enter and Change Data Here'!$G$26,'Enter and Change Data Here'!$O$42*(1+'Enter and Change Data Here'!$G$127/100)^'Cash Flow'!AQ2,0)</f>
        <v>-1310625.9683641093</v>
      </c>
      <c r="AT8" s="2"/>
      <c r="AU8" s="139">
        <f>-IF(AU2&lt;='Enter and Change Data Here'!$G$26,'Enter and Change Data Here'!$O$42*(1+'Enter and Change Data Here'!$G$127/100)^'Cash Flow'!AS2,0)</f>
        <v>-1336838.4877313913</v>
      </c>
      <c r="AV8" s="2"/>
      <c r="AW8" s="139">
        <f>-IF(AW2&lt;='Enter and Change Data Here'!$G$26,'Enter and Change Data Here'!$O$42*(1+'Enter and Change Data Here'!$G$127/100)^'Cash Flow'!AU2,0)</f>
        <v>-1363575.257486019</v>
      </c>
      <c r="AX8" s="32"/>
      <c r="AY8" s="139">
        <f>-IF(AY2&lt;='Enter and Change Data Here'!$G$26,'Enter and Change Data Here'!$O$42*(1+'Enter and Change Data Here'!$G$127/100)^'Cash Flow'!AW2,0)</f>
        <v>-1390846.7626357395</v>
      </c>
      <c r="AZ8" s="2"/>
      <c r="BA8" s="139">
        <f>-IF(BA2&lt;='Enter and Change Data Here'!$G$26,'Enter and Change Data Here'!$O$42*(1+'Enter and Change Data Here'!$G$127/100)^'Cash Flow'!AY2,0)</f>
        <v>-1418663.6978884542</v>
      </c>
      <c r="BB8" s="2"/>
      <c r="BC8" s="139">
        <f>-IF(BC2&lt;='Enter and Change Data Here'!$G$26,'Enter and Change Data Here'!$O$42*(1+'Enter and Change Data Here'!$G$127/100)^'Cash Flow'!BA2,0)</f>
        <v>-1447036.9718462233</v>
      </c>
      <c r="BD8" s="2"/>
      <c r="BE8" s="139">
        <f>-IF(BE2&lt;='Enter and Change Data Here'!$G$26,'Enter and Change Data Here'!$O$42*(1+'Enter and Change Data Here'!$G$127/100)^'Cash Flow'!BC2,0)</f>
        <v>-1475977.7112831476</v>
      </c>
      <c r="BF8" s="2"/>
      <c r="BG8" s="139">
        <f>-IF(BG2&lt;='Enter and Change Data Here'!$G$26,'Enter and Change Data Here'!$O$42*(1+'Enter and Change Data Here'!$G$127/100)^'Cash Flow'!BE2,0)</f>
        <v>-1505497.2655088105</v>
      </c>
      <c r="BH8" s="2"/>
      <c r="BI8" s="139">
        <f>-IF(BI2&lt;='Enter and Change Data Here'!$G$26,'Enter and Change Data Here'!$O$42*(1+'Enter and Change Data Here'!$G$127/100)^'Cash Flow'!BG2,0)</f>
        <v>0</v>
      </c>
      <c r="BJ8" s="2"/>
      <c r="BK8" s="139">
        <f>-IF(BK2&lt;='Enter and Change Data Here'!$G$26,'Enter and Change Data Here'!$O$42*(1+'Enter and Change Data Here'!$G$127/100)^'Cash Flow'!BI2,0)</f>
        <v>0</v>
      </c>
      <c r="BL8" s="2"/>
      <c r="BM8" s="139">
        <f>-IF(BM2&lt;='Enter and Change Data Here'!$G$26,'Enter and Change Data Here'!$O$42*(1+'Enter and Change Data Here'!$G$127/100)^'Cash Flow'!BK2,0)</f>
        <v>0</v>
      </c>
      <c r="BN8" s="2"/>
      <c r="BO8" s="139">
        <f>-IF(BO2&lt;='Enter and Change Data Here'!$G$26,'Enter and Change Data Here'!$O$42*(1+'Enter and Change Data Here'!$G$127/100)^'Cash Flow'!BM2,0)</f>
        <v>0</v>
      </c>
      <c r="BP8" s="2"/>
      <c r="BQ8" s="139">
        <f>-IF(BQ2&lt;='Enter and Change Data Here'!$G$26,'Enter and Change Data Here'!$O$42*(1+'Enter and Change Data Here'!$G$127/100)^'Cash Flow'!BO2,0)</f>
        <v>0</v>
      </c>
      <c r="BR8" s="32"/>
      <c r="BS8" s="139">
        <f>-IF(BS2&lt;='Enter and Change Data Here'!$G$26,'Enter and Change Data Here'!$O$42*(1+'Enter and Change Data Here'!$G$127/100)^'Cash Flow'!BQ2,0)</f>
        <v>0</v>
      </c>
      <c r="BT8" s="2"/>
      <c r="BU8" s="139">
        <f>-IF(BU2&lt;='Enter and Change Data Here'!$G$26,'Enter and Change Data Here'!$O$42*(1+'Enter and Change Data Here'!$G$127/100)^'Cash Flow'!BS2,0)</f>
        <v>0</v>
      </c>
      <c r="BV8" s="2"/>
      <c r="BW8" s="139">
        <f>-IF(BW2&lt;='Enter and Change Data Here'!$G$26,'Enter and Change Data Here'!$O$42*(1+'Enter and Change Data Here'!$G$127/100)^'Cash Flow'!BU2,0)</f>
        <v>0</v>
      </c>
      <c r="BX8" s="2"/>
      <c r="BY8" s="139">
        <f>-IF(BY2&lt;='Enter and Change Data Here'!$G$26,'Enter and Change Data Here'!$O$42*(1+'Enter and Change Data Here'!$G$127/100)^'Cash Flow'!BW2,0)</f>
        <v>0</v>
      </c>
      <c r="BZ8" s="2"/>
      <c r="CA8" s="139">
        <f>-IF(CA2&lt;='Enter and Change Data Here'!$G$26,'Enter and Change Data Here'!$O$42*(1+'Enter and Change Data Here'!$G$127/100)^'Cash Flow'!BY2,0)</f>
        <v>0</v>
      </c>
      <c r="CB8" s="2"/>
      <c r="CC8" s="139">
        <f>-IF(CC2&lt;='Enter and Change Data Here'!$G$26,'Enter and Change Data Here'!$O$42*(1+'Enter and Change Data Here'!$G$127/100)^'Cash Flow'!CA2,0)</f>
        <v>0</v>
      </c>
      <c r="CD8" s="2"/>
      <c r="CE8" s="139">
        <f>-IF(CE2&lt;='Enter and Change Data Here'!$G$26,'Enter and Change Data Here'!$O$42*(1+'Enter and Change Data Here'!$G$127/100)^'Cash Flow'!CC2,0)</f>
        <v>0</v>
      </c>
      <c r="CF8" s="2"/>
      <c r="CG8" s="139">
        <f>-IF(CG2&lt;='Enter and Change Data Here'!$G$26,'Enter and Change Data Here'!$O$42*(1+'Enter and Change Data Here'!$G$127/100)^'Cash Flow'!CE2,0)</f>
        <v>0</v>
      </c>
      <c r="CH8" s="2"/>
      <c r="CI8" s="139">
        <f>-IF(CI2&lt;='Enter and Change Data Here'!$G$26,'Enter and Change Data Here'!$O$42*(1+'Enter and Change Data Here'!$G$127/100)^'Cash Flow'!CG2,0)</f>
        <v>0</v>
      </c>
      <c r="CJ8" s="2"/>
      <c r="CK8" s="139">
        <f>-IF(CK2&lt;='Enter and Change Data Here'!$G$26,'Enter and Change Data Here'!$O$42*(1+'Enter and Change Data Here'!$G$127/100)^'Cash Flow'!CI2,0)</f>
        <v>0</v>
      </c>
      <c r="CL8" s="32"/>
      <c r="CM8" s="139">
        <f>-IF(CM2&lt;='Enter and Change Data Here'!$G$26,'Enter and Change Data Here'!$O$42*(1+'Enter and Change Data Here'!$G$127/100)^'Cash Flow'!CK2,0)</f>
        <v>0</v>
      </c>
      <c r="CN8" s="2"/>
      <c r="CO8" s="139">
        <f>-IF(CO2&lt;='Enter and Change Data Here'!$G$26,'Enter and Change Data Here'!$O$42*(1+'Enter and Change Data Here'!$G$127/100)^'Cash Flow'!CM2,0)</f>
        <v>0</v>
      </c>
      <c r="CP8" s="2"/>
      <c r="CQ8" s="139">
        <f>-IF(CQ2&lt;='Enter and Change Data Here'!$G$26,'Enter and Change Data Here'!$O$42*(1+'Enter and Change Data Here'!$G$127/100)^'Cash Flow'!CO2,0)</f>
        <v>0</v>
      </c>
      <c r="CR8" s="2"/>
      <c r="CS8" s="139">
        <f>-IF(CS2&lt;='Enter and Change Data Here'!$G$26,'Enter and Change Data Here'!$O$42*(1+'Enter and Change Data Here'!$G$127/100)^'Cash Flow'!CQ2,0)</f>
        <v>0</v>
      </c>
      <c r="CT8" s="2"/>
      <c r="CU8" s="139">
        <f>-IF(CU2&lt;='Enter and Change Data Here'!$G$26,'Enter and Change Data Here'!$O$42*(1+'Enter and Change Data Here'!$G$127/100)^'Cash Flow'!CS2,0)</f>
        <v>0</v>
      </c>
      <c r="CW8" s="139">
        <f>-IF(CW2&lt;='Enter and Change Data Here'!$G$26,'Enter and Change Data Here'!$O$42*(1+'Enter and Change Data Here'!$G$127/100)^'Cash Flow'!CU2,0)</f>
        <v>0</v>
      </c>
      <c r="CX8" s="2"/>
      <c r="CY8" s="139">
        <f>-IF(CY2&lt;='Enter and Change Data Here'!$G$26,'Enter and Change Data Here'!$O$42*(1+'Enter and Change Data Here'!$G$127/100)^'Cash Flow'!CW2,0)</f>
        <v>0</v>
      </c>
      <c r="CZ8" s="2"/>
      <c r="DA8" s="139">
        <f>-IF(DA2&lt;='Enter and Change Data Here'!$G$26,'Enter and Change Data Here'!$O$42*(1+'Enter and Change Data Here'!$G$127/100)^'Cash Flow'!CY2,0)</f>
        <v>0</v>
      </c>
      <c r="DB8" s="2"/>
      <c r="DC8" s="139">
        <f>-IF(DC2&lt;='Enter and Change Data Here'!$G$26,'Enter and Change Data Here'!$O$42*(1+'Enter and Change Data Here'!$G$127/100)^'Cash Flow'!DA2,0)</f>
        <v>0</v>
      </c>
      <c r="DD8" s="2"/>
      <c r="DE8" s="139">
        <f>-IF(DE2&lt;='Enter and Change Data Here'!$G$26,'Enter and Change Data Here'!$O$42*(1+'Enter and Change Data Here'!$G$127/100)^'Cash Flow'!DC2,0)</f>
        <v>0</v>
      </c>
      <c r="DF8" s="198"/>
      <c r="DG8" s="215">
        <f>SUM(I8:DE8)</f>
        <v>-32980360.54094936</v>
      </c>
      <c r="DH8" s="198"/>
    </row>
    <row r="9" spans="2:112" ht="12.75">
      <c r="B9" s="3"/>
      <c r="C9" s="2" t="s">
        <v>230</v>
      </c>
      <c r="D9" s="2"/>
      <c r="E9" s="2"/>
      <c r="F9" s="2"/>
      <c r="G9" s="150" t="str">
        <f>CONCATENATE("(",'Enter and Change Data Here'!$G$13,")")</f>
        <v>($US)</v>
      </c>
      <c r="H9" s="32"/>
      <c r="I9" s="139">
        <f>0</f>
        <v>0</v>
      </c>
      <c r="J9" s="2"/>
      <c r="K9" s="6">
        <f>IF(K2&lt;='Enter and Change Data Here'!$G$26,'Enter and Change Data Here'!$G$136*'Enter and Change Data Here'!$G$131/100,0)</f>
        <v>20000</v>
      </c>
      <c r="L9" s="2"/>
      <c r="M9" s="6">
        <f>IF(M2&lt;='Enter and Change Data Here'!$G$26,'Enter and Change Data Here'!$G$136*'Enter and Change Data Here'!$G$131/100,0)</f>
        <v>20000</v>
      </c>
      <c r="N9" s="2"/>
      <c r="O9" s="6">
        <f>IF(O2&lt;='Enter and Change Data Here'!$G$26,'Enter and Change Data Here'!$G$136*'Enter and Change Data Here'!$G$131/100,0)</f>
        <v>20000</v>
      </c>
      <c r="P9" s="2"/>
      <c r="Q9" s="6">
        <f>IF(Q2&lt;='Enter and Change Data Here'!$G$26,'Enter and Change Data Here'!$G$136*'Enter and Change Data Here'!$G$131/100,0)</f>
        <v>20000</v>
      </c>
      <c r="R9" s="2"/>
      <c r="S9" s="6">
        <f>IF(S2&lt;='Enter and Change Data Here'!$G$26,'Enter and Change Data Here'!$G$136*'Enter and Change Data Here'!$G$131/100,0)</f>
        <v>20000</v>
      </c>
      <c r="T9" s="2"/>
      <c r="U9" s="6">
        <f>IF(U2&lt;='Enter and Change Data Here'!$G$26,'Enter and Change Data Here'!$G$136*'Enter and Change Data Here'!$G$131/100,0)</f>
        <v>20000</v>
      </c>
      <c r="V9" s="2"/>
      <c r="W9" s="6">
        <f>IF(W2&lt;='Enter and Change Data Here'!$G$26,'Enter and Change Data Here'!$G$136*'Enter and Change Data Here'!$G$131/100,0)</f>
        <v>20000</v>
      </c>
      <c r="X9" s="2"/>
      <c r="Y9" s="6">
        <f>IF(Y2&lt;='Enter and Change Data Here'!$G$26,'Enter and Change Data Here'!$G$136*'Enter and Change Data Here'!$G$131/100,0)</f>
        <v>20000</v>
      </c>
      <c r="Z9" s="2"/>
      <c r="AA9" s="6">
        <f>IF(AA2&lt;='Enter and Change Data Here'!$G$26,'Enter and Change Data Here'!$G$136*'Enter and Change Data Here'!$G$131/100,0)</f>
        <v>20000</v>
      </c>
      <c r="AB9" s="2"/>
      <c r="AC9" s="6">
        <f>IF(AC2&lt;='Enter and Change Data Here'!$G$26,'Enter and Change Data Here'!$G$136*'Enter and Change Data Here'!$G$131/100,0)</f>
        <v>20000</v>
      </c>
      <c r="AD9" s="32"/>
      <c r="AE9" s="6">
        <f>IF(AE2&lt;='Enter and Change Data Here'!$G$26,'Enter and Change Data Here'!$G$136*'Enter and Change Data Here'!$G$131/100,0)</f>
        <v>20000</v>
      </c>
      <c r="AF9" s="2"/>
      <c r="AG9" s="6">
        <f>IF(AG2&lt;='Enter and Change Data Here'!$G$26,'Enter and Change Data Here'!$G$136*'Enter and Change Data Here'!$G$131/100,0)</f>
        <v>20000</v>
      </c>
      <c r="AH9" s="2"/>
      <c r="AI9" s="6">
        <f>IF(AI2&lt;='Enter and Change Data Here'!$G$26,'Enter and Change Data Here'!$G$136*'Enter and Change Data Here'!$G$131/100,0)</f>
        <v>20000</v>
      </c>
      <c r="AJ9" s="2"/>
      <c r="AK9" s="6">
        <f>IF(AK2&lt;='Enter and Change Data Here'!$G$26,'Enter and Change Data Here'!$G$136*'Enter and Change Data Here'!$G$131/100,0)</f>
        <v>20000</v>
      </c>
      <c r="AL9" s="2"/>
      <c r="AM9" s="6">
        <f>IF(AM2&lt;='Enter and Change Data Here'!$G$26,'Enter and Change Data Here'!$G$136*'Enter and Change Data Here'!$G$131/100,0)</f>
        <v>20000</v>
      </c>
      <c r="AO9" s="6">
        <f>IF(AO2&lt;='Enter and Change Data Here'!$G$26,'Enter and Change Data Here'!$G$136*'Enter and Change Data Here'!$G$131/100,0)</f>
        <v>20000</v>
      </c>
      <c r="AP9" s="2"/>
      <c r="AQ9" s="6">
        <f>IF(AQ2&lt;='Enter and Change Data Here'!$G$26,'Enter and Change Data Here'!$G$136*'Enter and Change Data Here'!$G$131/100,0)</f>
        <v>20000</v>
      </c>
      <c r="AR9" s="2"/>
      <c r="AS9" s="6">
        <f>IF(AS2&lt;='Enter and Change Data Here'!$G$26,'Enter and Change Data Here'!$G$136*'Enter and Change Data Here'!$G$131/100,0)</f>
        <v>20000</v>
      </c>
      <c r="AT9" s="2"/>
      <c r="AU9" s="6">
        <f>IF(AU2&lt;='Enter and Change Data Here'!$G$26,'Enter and Change Data Here'!$G$136*'Enter and Change Data Here'!$G$131/100,0)</f>
        <v>20000</v>
      </c>
      <c r="AV9" s="2"/>
      <c r="AW9" s="6">
        <f>IF(AW2&lt;='Enter and Change Data Here'!$G$26,'Enter and Change Data Here'!$G$136*'Enter and Change Data Here'!$G$131/100,0)</f>
        <v>20000</v>
      </c>
      <c r="AX9" s="32"/>
      <c r="AY9" s="6">
        <f>IF(AY2&lt;='Enter and Change Data Here'!$G$26,'Enter and Change Data Here'!$G$136*'Enter and Change Data Here'!$G$131/100,0)</f>
        <v>20000</v>
      </c>
      <c r="AZ9" s="2"/>
      <c r="BA9" s="6">
        <f>IF(BA2&lt;='Enter and Change Data Here'!$G$26,'Enter and Change Data Here'!$G$136*'Enter and Change Data Here'!$G$131/100,0)</f>
        <v>20000</v>
      </c>
      <c r="BB9" s="2"/>
      <c r="BC9" s="6">
        <f>IF(BC2&lt;='Enter and Change Data Here'!$G$26,'Enter and Change Data Here'!$G$136*'Enter and Change Data Here'!$G$131/100,0)</f>
        <v>20000</v>
      </c>
      <c r="BD9" s="2"/>
      <c r="BE9" s="6">
        <f>IF(BE2&lt;='Enter and Change Data Here'!$G$26,'Enter and Change Data Here'!$G$136*'Enter and Change Data Here'!$G$131/100,0)</f>
        <v>20000</v>
      </c>
      <c r="BF9" s="2"/>
      <c r="BG9" s="6">
        <f>IF(BG2&lt;='Enter and Change Data Here'!$G$26,'Enter and Change Data Here'!$G$136*'Enter and Change Data Here'!$G$131/100,0)</f>
        <v>20000</v>
      </c>
      <c r="BH9" s="2"/>
      <c r="BI9" s="6">
        <f>IF(BI2&lt;='Enter and Change Data Here'!$G$26,'Enter and Change Data Here'!$G$136*'Enter and Change Data Here'!$G$131/100,0)</f>
        <v>0</v>
      </c>
      <c r="BJ9" s="2"/>
      <c r="BK9" s="6">
        <f>IF(BK2&lt;='Enter and Change Data Here'!$G$26,'Enter and Change Data Here'!$G$136*'Enter and Change Data Here'!$G$131/100,0)</f>
        <v>0</v>
      </c>
      <c r="BL9" s="2"/>
      <c r="BM9" s="6">
        <f>IF(BM2&lt;='Enter and Change Data Here'!$G$26,'Enter and Change Data Here'!$G$136*'Enter and Change Data Here'!$G$131/100,0)</f>
        <v>0</v>
      </c>
      <c r="BN9" s="2"/>
      <c r="BO9" s="6">
        <f>IF(BO2&lt;='Enter and Change Data Here'!$G$26,'Enter and Change Data Here'!$G$136*'Enter and Change Data Here'!$G$131/100,0)</f>
        <v>0</v>
      </c>
      <c r="BP9" s="2"/>
      <c r="BQ9" s="6">
        <f>IF(BQ2&lt;='Enter and Change Data Here'!$G$26,'Enter and Change Data Here'!$G$136*'Enter and Change Data Here'!$G$131/100,0)</f>
        <v>0</v>
      </c>
      <c r="BR9" s="32"/>
      <c r="BS9" s="6">
        <f>IF(BS2&lt;='Enter and Change Data Here'!$G$26,'Enter and Change Data Here'!$G$136*'Enter and Change Data Here'!$G$131/100,0)</f>
        <v>0</v>
      </c>
      <c r="BT9" s="2"/>
      <c r="BU9" s="6">
        <f>IF(BU2&lt;='Enter and Change Data Here'!$G$26,'Enter and Change Data Here'!$G$136*'Enter and Change Data Here'!$G$131/100,0)</f>
        <v>0</v>
      </c>
      <c r="BV9" s="2"/>
      <c r="BW9" s="6">
        <f>IF(BW2&lt;='Enter and Change Data Here'!$G$26,'Enter and Change Data Here'!$G$136*'Enter and Change Data Here'!$G$131/100,0)</f>
        <v>0</v>
      </c>
      <c r="BX9" s="2"/>
      <c r="BY9" s="6">
        <f>IF(BY2&lt;='Enter and Change Data Here'!$G$26,'Enter and Change Data Here'!$G$136*'Enter and Change Data Here'!$G$131/100,0)</f>
        <v>0</v>
      </c>
      <c r="BZ9" s="2"/>
      <c r="CA9" s="6">
        <f>IF(CA2&lt;='Enter and Change Data Here'!$G$26,'Enter and Change Data Here'!$G$136*'Enter and Change Data Here'!$G$131/100,0)</f>
        <v>0</v>
      </c>
      <c r="CB9" s="2"/>
      <c r="CC9" s="6">
        <f>IF(CC2&lt;='Enter and Change Data Here'!$G$26,'Enter and Change Data Here'!$G$136*'Enter and Change Data Here'!$G$131/100,0)</f>
        <v>0</v>
      </c>
      <c r="CD9" s="2"/>
      <c r="CE9" s="6">
        <f>IF(CE2&lt;='Enter and Change Data Here'!$G$26,'Enter and Change Data Here'!$G$136*'Enter and Change Data Here'!$G$131/100,0)</f>
        <v>0</v>
      </c>
      <c r="CF9" s="2"/>
      <c r="CG9" s="6">
        <f>IF(CG2&lt;='Enter and Change Data Here'!$G$26,'Enter and Change Data Here'!$G$136*'Enter and Change Data Here'!$G$131/100,0)</f>
        <v>0</v>
      </c>
      <c r="CH9" s="2"/>
      <c r="CI9" s="6">
        <f>IF(CI2&lt;='Enter and Change Data Here'!$G$26,'Enter and Change Data Here'!$G$136*'Enter and Change Data Here'!$G$131/100,0)</f>
        <v>0</v>
      </c>
      <c r="CJ9" s="2"/>
      <c r="CK9" s="6">
        <f>IF(CK2&lt;='Enter and Change Data Here'!$G$26,'Enter and Change Data Here'!$G$136*'Enter and Change Data Here'!$G$131/100,0)</f>
        <v>0</v>
      </c>
      <c r="CL9" s="32"/>
      <c r="CM9" s="6">
        <f>IF(CM2&lt;='Enter and Change Data Here'!$G$26,'Enter and Change Data Here'!$G$136*'Enter and Change Data Here'!$G$131/100,0)</f>
        <v>0</v>
      </c>
      <c r="CN9" s="2"/>
      <c r="CO9" s="6">
        <f>IF(CO2&lt;='Enter and Change Data Here'!$G$26,'Enter and Change Data Here'!$G$136*'Enter and Change Data Here'!$G$131/100,0)</f>
        <v>0</v>
      </c>
      <c r="CP9" s="2"/>
      <c r="CQ9" s="6">
        <f>IF(CQ2&lt;='Enter and Change Data Here'!$G$26,'Enter and Change Data Here'!$G$136*'Enter and Change Data Here'!$G$131/100,0)</f>
        <v>0</v>
      </c>
      <c r="CR9" s="2"/>
      <c r="CS9" s="6">
        <f>IF(CS2&lt;='Enter and Change Data Here'!$G$26,'Enter and Change Data Here'!$G$136*'Enter and Change Data Here'!$G$131/100,0)</f>
        <v>0</v>
      </c>
      <c r="CT9" s="2"/>
      <c r="CU9" s="6">
        <f>IF(CU2&lt;='Enter and Change Data Here'!$G$26,'Enter and Change Data Here'!$G$136*'Enter and Change Data Here'!$G$131/100,0)</f>
        <v>0</v>
      </c>
      <c r="CW9" s="6">
        <f>IF(CW2&lt;='Enter and Change Data Here'!$G$26,'Enter and Change Data Here'!$G$136*'Enter and Change Data Here'!$G$131/100,0)</f>
        <v>0</v>
      </c>
      <c r="CX9" s="2"/>
      <c r="CY9" s="6">
        <f>IF(CY2&lt;='Enter and Change Data Here'!$G$26,'Enter and Change Data Here'!$G$136*'Enter and Change Data Here'!$G$131/100,0)</f>
        <v>0</v>
      </c>
      <c r="CZ9" s="2"/>
      <c r="DA9" s="6">
        <f>IF(DA2&lt;='Enter and Change Data Here'!$G$26,'Enter and Change Data Here'!$G$136*'Enter and Change Data Here'!$G$131/100,0)</f>
        <v>0</v>
      </c>
      <c r="DB9" s="2"/>
      <c r="DC9" s="6">
        <f>IF(DC2&lt;='Enter and Change Data Here'!$G$26,'Enter and Change Data Here'!$G$136*'Enter and Change Data Here'!$G$131/100,0)</f>
        <v>0</v>
      </c>
      <c r="DD9" s="2"/>
      <c r="DE9" s="6">
        <f>IF(DE2&lt;='Enter and Change Data Here'!$G$26,'Enter and Change Data Here'!$G$136*'Enter and Change Data Here'!$G$131/100,0)</f>
        <v>0</v>
      </c>
      <c r="DF9" s="198"/>
      <c r="DG9" s="216"/>
      <c r="DH9" s="198"/>
    </row>
    <row r="10" spans="2:112" ht="12.75">
      <c r="B10" s="3"/>
      <c r="C10" s="2" t="s">
        <v>159</v>
      </c>
      <c r="D10" s="2"/>
      <c r="E10" s="2"/>
      <c r="F10" s="2"/>
      <c r="G10" s="150" t="str">
        <f>CONCATENATE("(",'Enter and Change Data Here'!$G$13,")")</f>
        <v>($US)</v>
      </c>
      <c r="H10" s="32"/>
      <c r="I10" s="139">
        <f>0</f>
        <v>0</v>
      </c>
      <c r="J10" s="2"/>
      <c r="K10" s="139">
        <f>-IF(K2&lt;='Enter and Change Data Here'!$G$121,'Enter and Change Data Here'!$O$43,0)</f>
        <v>-4100101.7531681745</v>
      </c>
      <c r="L10" s="2"/>
      <c r="M10" s="139">
        <f>-IF(M2&lt;='Enter and Change Data Here'!$G$121,'Enter and Change Data Here'!$O$43,0)</f>
        <v>-4100101.7531681745</v>
      </c>
      <c r="N10" s="2"/>
      <c r="O10" s="139">
        <f>-IF(O2&lt;='Enter and Change Data Here'!$G$121,'Enter and Change Data Here'!$O$43,0)</f>
        <v>-4100101.7531681745</v>
      </c>
      <c r="P10" s="2"/>
      <c r="Q10" s="139">
        <f>-IF(Q2&lt;='Enter and Change Data Here'!$G$121,'Enter and Change Data Here'!$O$43,0)</f>
        <v>-4100101.7531681745</v>
      </c>
      <c r="R10" s="2"/>
      <c r="S10" s="139">
        <f>-IF(S2&lt;='Enter and Change Data Here'!$G$121,'Enter and Change Data Here'!$O$43,0)</f>
        <v>-4100101.7531681745</v>
      </c>
      <c r="T10" s="2"/>
      <c r="U10" s="139">
        <f>-IF(U2&lt;='Enter and Change Data Here'!$G$121,'Enter and Change Data Here'!$O$43,0)</f>
        <v>-4100101.7531681745</v>
      </c>
      <c r="V10" s="2"/>
      <c r="W10" s="139">
        <f>-IF(W2&lt;='Enter and Change Data Here'!$G$121,'Enter and Change Data Here'!$O$43,0)</f>
        <v>-4100101.7531681745</v>
      </c>
      <c r="X10" s="2"/>
      <c r="Y10" s="139">
        <f>-IF(Y2&lt;='Enter and Change Data Here'!$G$121,'Enter and Change Data Here'!$O$43,0)</f>
        <v>-4100101.7531681745</v>
      </c>
      <c r="Z10" s="2"/>
      <c r="AA10" s="139">
        <f>-IF(AA2&lt;='Enter and Change Data Here'!$G$121,'Enter and Change Data Here'!$O$43,0)</f>
        <v>-4100101.7531681745</v>
      </c>
      <c r="AB10" s="2"/>
      <c r="AC10" s="139">
        <f>-IF(AC2&lt;='Enter and Change Data Here'!$G$121,'Enter and Change Data Here'!$O$43,0)</f>
        <v>-4100101.7531681745</v>
      </c>
      <c r="AD10" s="32"/>
      <c r="AE10" s="139">
        <f>-IF(AE2&lt;='Enter and Change Data Here'!$G$121,'Enter and Change Data Here'!$O$43,0)</f>
        <v>-4100101.7531681745</v>
      </c>
      <c r="AF10" s="2"/>
      <c r="AG10" s="139">
        <f>-IF(AG2&lt;='Enter and Change Data Here'!$G$121,'Enter and Change Data Here'!$O$43,0)</f>
        <v>-4100101.7531681745</v>
      </c>
      <c r="AH10" s="2"/>
      <c r="AI10" s="139">
        <f>-IF(AI2&lt;='Enter and Change Data Here'!$G$121,'Enter and Change Data Here'!$O$43,0)</f>
        <v>-4100101.7531681745</v>
      </c>
      <c r="AJ10" s="2"/>
      <c r="AK10" s="139">
        <f>-IF(AK2&lt;='Enter and Change Data Here'!$G$121,'Enter and Change Data Here'!$O$43,0)</f>
        <v>-4100101.7531681745</v>
      </c>
      <c r="AL10" s="2"/>
      <c r="AM10" s="139">
        <f>-IF(AM2&lt;='Enter and Change Data Here'!$G$121,'Enter and Change Data Here'!$O$43,0)</f>
        <v>-4100101.7531681745</v>
      </c>
      <c r="AO10" s="139">
        <f>-IF(AO2&lt;='Enter and Change Data Here'!$G$121,'Enter and Change Data Here'!$O$43,0)</f>
        <v>-4100101.7531681745</v>
      </c>
      <c r="AP10" s="2"/>
      <c r="AQ10" s="139">
        <f>-IF(AQ2&lt;='Enter and Change Data Here'!$G$121,'Enter and Change Data Here'!$O$43,0)</f>
        <v>-4100101.7531681745</v>
      </c>
      <c r="AR10" s="2"/>
      <c r="AS10" s="139">
        <f>-IF(AS2&lt;='Enter and Change Data Here'!$G$121,'Enter and Change Data Here'!$O$43,0)</f>
        <v>-4100101.7531681745</v>
      </c>
      <c r="AT10" s="2"/>
      <c r="AU10" s="139">
        <f>-IF(AU2&lt;='Enter and Change Data Here'!$G$121,'Enter and Change Data Here'!$O$43,0)</f>
        <v>-4100101.7531681745</v>
      </c>
      <c r="AV10" s="2"/>
      <c r="AW10" s="139">
        <f>-IF(AW2&lt;='Enter and Change Data Here'!$G$121,'Enter and Change Data Here'!$O$43,0)</f>
        <v>-4100101.7531681745</v>
      </c>
      <c r="AX10" s="32"/>
      <c r="AY10" s="139">
        <f>-IF(AY2&lt;='Enter and Change Data Here'!$G$121,'Enter and Change Data Here'!$O$43,0)</f>
        <v>0</v>
      </c>
      <c r="AZ10" s="2"/>
      <c r="BA10" s="139">
        <f>-IF(BA2&lt;='Enter and Change Data Here'!$G$121,'Enter and Change Data Here'!$O$43,0)</f>
        <v>0</v>
      </c>
      <c r="BB10" s="2"/>
      <c r="BC10" s="139">
        <f>-IF(BC2&lt;='Enter and Change Data Here'!$G$121,'Enter and Change Data Here'!$O$43,0)</f>
        <v>0</v>
      </c>
      <c r="BD10" s="2"/>
      <c r="BE10" s="139">
        <f>-IF(BE2&lt;='Enter and Change Data Here'!$G$121,'Enter and Change Data Here'!$O$43,0)</f>
        <v>0</v>
      </c>
      <c r="BF10" s="2"/>
      <c r="BG10" s="139">
        <f>-IF(BG2&lt;='Enter and Change Data Here'!$G$121,'Enter and Change Data Here'!$O$43,0)</f>
        <v>0</v>
      </c>
      <c r="BH10" s="2"/>
      <c r="BI10" s="139">
        <f>-IF(BI2&lt;='Enter and Change Data Here'!$G$121,'Enter and Change Data Here'!$O$43,0)</f>
        <v>0</v>
      </c>
      <c r="BJ10" s="2"/>
      <c r="BK10" s="139">
        <f>-IF(BK2&lt;='Enter and Change Data Here'!$G$121,'Enter and Change Data Here'!$O$43,0)</f>
        <v>0</v>
      </c>
      <c r="BL10" s="2"/>
      <c r="BM10" s="139">
        <f>-IF(BM2&lt;='Enter and Change Data Here'!$G$121,'Enter and Change Data Here'!$O$43,0)</f>
        <v>0</v>
      </c>
      <c r="BN10" s="2"/>
      <c r="BO10" s="139">
        <f>-IF(BO2&lt;='Enter and Change Data Here'!$G$121,'Enter and Change Data Here'!$O$43,0)</f>
        <v>0</v>
      </c>
      <c r="BP10" s="2"/>
      <c r="BQ10" s="139">
        <f>-IF(BQ2&lt;='Enter and Change Data Here'!$G$121,'Enter and Change Data Here'!$O$43,0)</f>
        <v>0</v>
      </c>
      <c r="BR10" s="32"/>
      <c r="BS10" s="139">
        <f>-IF(BS2&lt;='Enter and Change Data Here'!$G$121,'Enter and Change Data Here'!$O$43,0)</f>
        <v>0</v>
      </c>
      <c r="BT10" s="2"/>
      <c r="BU10" s="139">
        <f>-IF(BU2&lt;='Enter and Change Data Here'!$G$121,'Enter and Change Data Here'!$O$43,0)</f>
        <v>0</v>
      </c>
      <c r="BV10" s="2"/>
      <c r="BW10" s="139">
        <f>-IF(BW2&lt;='Enter and Change Data Here'!$G$121,'Enter and Change Data Here'!$O$43,0)</f>
        <v>0</v>
      </c>
      <c r="BX10" s="2"/>
      <c r="BY10" s="139">
        <f>-IF(BY2&lt;='Enter and Change Data Here'!$G$121,'Enter and Change Data Here'!$O$43,0)</f>
        <v>0</v>
      </c>
      <c r="BZ10" s="2"/>
      <c r="CA10" s="139">
        <f>-IF(CA2&lt;='Enter and Change Data Here'!$G$121,'Enter and Change Data Here'!$O$43,0)</f>
        <v>0</v>
      </c>
      <c r="CB10" s="2"/>
      <c r="CC10" s="139">
        <f>-IF(CC2&lt;='Enter and Change Data Here'!$G$121,'Enter and Change Data Here'!$O$43,0)</f>
        <v>0</v>
      </c>
      <c r="CD10" s="2"/>
      <c r="CE10" s="139">
        <f>-IF(CE2&lt;='Enter and Change Data Here'!$G$121,'Enter and Change Data Here'!$O$43,0)</f>
        <v>0</v>
      </c>
      <c r="CF10" s="2"/>
      <c r="CG10" s="139">
        <f>-IF(CG2&lt;='Enter and Change Data Here'!$G$121,'Enter and Change Data Here'!$O$43,0)</f>
        <v>0</v>
      </c>
      <c r="CH10" s="2"/>
      <c r="CI10" s="139">
        <f>-IF(CI2&lt;='Enter and Change Data Here'!$G$121,'Enter and Change Data Here'!$O$43,0)</f>
        <v>0</v>
      </c>
      <c r="CJ10" s="2"/>
      <c r="CK10" s="139">
        <f>-IF(CK2&lt;='Enter and Change Data Here'!$G$121,'Enter and Change Data Here'!$O$43,0)</f>
        <v>0</v>
      </c>
      <c r="CL10" s="32"/>
      <c r="CM10" s="139">
        <f>-IF(CM2&lt;='Enter and Change Data Here'!$G$121,'Enter and Change Data Here'!$O$43,0)</f>
        <v>0</v>
      </c>
      <c r="CN10" s="2"/>
      <c r="CO10" s="139">
        <f>-IF(CO2&lt;='Enter and Change Data Here'!$G$121,'Enter and Change Data Here'!$O$43,0)</f>
        <v>0</v>
      </c>
      <c r="CP10" s="2"/>
      <c r="CQ10" s="139">
        <f>-IF(CQ2&lt;='Enter and Change Data Here'!$G$121,'Enter and Change Data Here'!$O$43,0)</f>
        <v>0</v>
      </c>
      <c r="CR10" s="2"/>
      <c r="CS10" s="139">
        <f>-IF(CS2&lt;='Enter and Change Data Here'!$G$121,'Enter and Change Data Here'!$O$43,0)</f>
        <v>0</v>
      </c>
      <c r="CT10" s="2"/>
      <c r="CU10" s="139">
        <f>-IF(CU2&lt;='Enter and Change Data Here'!$G$121,'Enter and Change Data Here'!$O$43,0)</f>
        <v>0</v>
      </c>
      <c r="CW10" s="139">
        <f>-IF(CW2&lt;='Enter and Change Data Here'!$G$121,'Enter and Change Data Here'!$O$43,0)</f>
        <v>0</v>
      </c>
      <c r="CX10" s="2"/>
      <c r="CY10" s="139">
        <f>-IF(CY2&lt;='Enter and Change Data Here'!$G$121,'Enter and Change Data Here'!$O$43,0)</f>
        <v>0</v>
      </c>
      <c r="CZ10" s="2"/>
      <c r="DA10" s="139">
        <f>-IF(DA2&lt;='Enter and Change Data Here'!$G$121,'Enter and Change Data Here'!$O$43,0)</f>
        <v>0</v>
      </c>
      <c r="DB10" s="2"/>
      <c r="DC10" s="139">
        <f>-IF(DC2&lt;='Enter and Change Data Here'!$G$121,'Enter and Change Data Here'!$O$43,0)</f>
        <v>0</v>
      </c>
      <c r="DD10" s="2"/>
      <c r="DE10" s="139">
        <f>-IF(DE2&lt;='Enter and Change Data Here'!$G$121,'Enter and Change Data Here'!$O$43,0)</f>
        <v>0</v>
      </c>
      <c r="DF10" s="198"/>
      <c r="DG10" s="216"/>
      <c r="DH10" s="198"/>
    </row>
    <row r="11" spans="2:112" ht="12.75">
      <c r="B11" s="3"/>
      <c r="C11" s="2" t="s">
        <v>164</v>
      </c>
      <c r="D11" s="2"/>
      <c r="E11" s="2"/>
      <c r="F11" s="2"/>
      <c r="G11" s="150" t="str">
        <f>CONCATENATE("(",'Enter and Change Data Here'!$G$13,")")</f>
        <v>($US)</v>
      </c>
      <c r="H11" s="32"/>
      <c r="I11" s="6">
        <f>-IF(I29&lt;0,0,(I17+H29)*'Enter and Change Data Here'!$O$118/100)</f>
        <v>0</v>
      </c>
      <c r="J11" s="2"/>
      <c r="K11" s="6">
        <f>-IF(K29&lt;0,0,(K17+I29)*'Enter and Change Data Here'!$O$118/100)</f>
        <v>0</v>
      </c>
      <c r="L11" s="2"/>
      <c r="M11" s="6">
        <f>-IF(M29&lt;0,0,(M17+K29)*'Enter and Change Data Here'!$O$118/100)</f>
        <v>0</v>
      </c>
      <c r="N11" s="2"/>
      <c r="O11" s="6">
        <f>-IF(O29&lt;0,0,(O17+M29)*'Enter and Change Data Here'!$O$118/100)</f>
        <v>0</v>
      </c>
      <c r="P11" s="2"/>
      <c r="Q11" s="6">
        <f>-IF(Q29&lt;0,0,(Q17+O29)*'Enter and Change Data Here'!$O$118/100)</f>
        <v>0</v>
      </c>
      <c r="R11" s="2"/>
      <c r="S11" s="6">
        <f>-IF(S29&lt;0,0,(S17+Q29)*'Enter and Change Data Here'!$O$118/100)</f>
        <v>0</v>
      </c>
      <c r="T11" s="2"/>
      <c r="U11" s="6">
        <f>-IF(U29&lt;0,0,(U17+S29)*'Enter and Change Data Here'!$O$118/100)</f>
        <v>0</v>
      </c>
      <c r="V11" s="2"/>
      <c r="W11" s="6">
        <f>-IF(W29&lt;0,0,(W17+U29)*'Enter and Change Data Here'!$O$118/100)</f>
        <v>0</v>
      </c>
      <c r="X11" s="2"/>
      <c r="Y11" s="6">
        <f>-IF(Y29&lt;0,0,(Y17+W29)*'Enter and Change Data Here'!$O$118/100)</f>
        <v>0</v>
      </c>
      <c r="Z11" s="2"/>
      <c r="AA11" s="6">
        <f>-IF(AA29&lt;0,0,(AA17+Y29)*'Enter and Change Data Here'!$O$118/100)</f>
        <v>-3008119.7497662907</v>
      </c>
      <c r="AB11" s="2"/>
      <c r="AC11" s="6">
        <f>-IF(AC29&lt;0,0,(AC17+AA29)*'Enter and Change Data Here'!$O$118/100)</f>
        <v>-5035929.294053257</v>
      </c>
      <c r="AD11" s="32"/>
      <c r="AE11" s="6">
        <f>-IF(AE29&lt;0,0,(AE17+AC29)*'Enter and Change Data Here'!$O$118/100)</f>
        <v>-5137746.26909837</v>
      </c>
      <c r="AF11" s="2"/>
      <c r="AG11" s="6">
        <f>-IF(AG29&lt;0,0,(AG17+AE29)*'Enter and Change Data Here'!$O$118/100)</f>
        <v>-5244843.349422739</v>
      </c>
      <c r="AH11" s="2"/>
      <c r="AI11" s="6">
        <f>-IF(AI29&lt;0,0,(AI17+AG29)*'Enter and Change Data Here'!$O$118/100)</f>
        <v>-5357678.901892167</v>
      </c>
      <c r="AJ11" s="2"/>
      <c r="AK11" s="6">
        <f>-IF(AK29&lt;0,0,(AK17+AI29)*'Enter and Change Data Here'!$O$118/100)</f>
        <v>-5476752.817796585</v>
      </c>
      <c r="AL11" s="2"/>
      <c r="AM11" s="6">
        <f>-IF(AM29&lt;0,0,(AM17+AK29)*'Enter and Change Data Here'!$O$118/100)</f>
        <v>-5602610.2615589425</v>
      </c>
      <c r="AO11" s="6">
        <f>-IF(AO29&lt;0,0,(AO17+AM29)*'Enter and Change Data Here'!$O$118/100)</f>
        <v>-5735845.7571189245</v>
      </c>
      <c r="AP11" s="2"/>
      <c r="AQ11" s="6">
        <f>-IF(AQ29&lt;0,0,(AQ17+AO29)*'Enter and Change Data Here'!$O$118/100)</f>
        <v>-5877107.642388684</v>
      </c>
      <c r="AR11" s="2"/>
      <c r="AS11" s="6">
        <f>-IF(AS29&lt;0,0,(AS17+AQ29)*'Enter and Change Data Here'!$O$118/100)</f>
        <v>-6027102.924913597</v>
      </c>
      <c r="AT11" s="2"/>
      <c r="AU11" s="6">
        <f>-IF(AU29&lt;0,0,(AU17+AS29)*'Enter and Change Data Here'!$O$118/100)</f>
        <v>-6186602.574853247</v>
      </c>
      <c r="AV11" s="2"/>
      <c r="AW11" s="6">
        <f>-IF(AW29&lt;0,0,(AW17+AU29)*'Enter and Change Data Here'!$O$118/100)</f>
        <v>-6356447.294648271</v>
      </c>
      <c r="AX11" s="32"/>
      <c r="AY11" s="6">
        <f>-IF(AY29&lt;0,0,(AY17+AW29)*'Enter and Change Data Here'!$O$118/100)</f>
        <v>-6537553.808281761</v>
      </c>
      <c r="AZ11" s="2"/>
      <c r="BA11" s="6">
        <f>-IF(BA29&lt;0,0,(BA17+AY29)*'Enter and Change Data Here'!$O$118/100)</f>
        <v>-6583318.05379184</v>
      </c>
      <c r="BB11" s="2"/>
      <c r="BC11" s="6">
        <f>-IF(BC29&lt;0,0,(BC17+BA29)*'Enter and Change Data Here'!$O$118/100)</f>
        <v>-6629149.315905565</v>
      </c>
      <c r="BD11" s="2"/>
      <c r="BE11" s="6">
        <f>-IF(BE29&lt;0,0,(BE17+BC29)*'Enter and Change Data Here'!$O$118/100)</f>
        <v>-6675040.452271941</v>
      </c>
      <c r="BF11" s="2"/>
      <c r="BG11" s="6">
        <f>-IF(BG29&lt;0,0,(BG17+BE29)*'Enter and Change Data Here'!$O$118/100)</f>
        <v>-6720984.092866132</v>
      </c>
      <c r="BH11" s="2"/>
      <c r="BI11" s="6">
        <f>-IF(BI29&lt;0,0,(BI17+BG29)*'Enter and Change Data Here'!$O$118/100)</f>
        <v>0</v>
      </c>
      <c r="BJ11" s="2"/>
      <c r="BK11" s="6">
        <f>-IF(BK29&lt;0,0,(BK17+BI29)*'Enter and Change Data Here'!$O$118/100)</f>
        <v>0</v>
      </c>
      <c r="BL11" s="2"/>
      <c r="BM11" s="6">
        <f>-IF(BM29&lt;0,0,(BM17+BK29)*'Enter and Change Data Here'!$O$118/100)</f>
        <v>0</v>
      </c>
      <c r="BN11" s="2"/>
      <c r="BO11" s="6">
        <f>-IF(BO29&lt;0,0,(BO17+BM29)*'Enter and Change Data Here'!$O$118/100)</f>
        <v>0</v>
      </c>
      <c r="BP11" s="2"/>
      <c r="BQ11" s="6">
        <f>-IF(BQ29&lt;0,0,(BQ17+BO29)*'Enter and Change Data Here'!$O$118/100)</f>
        <v>0</v>
      </c>
      <c r="BR11" s="32"/>
      <c r="BS11" s="6">
        <f>-IF(BS29&lt;0,0,(BS17+BQ29)*'Enter and Change Data Here'!$O$118/100)</f>
        <v>0</v>
      </c>
      <c r="BT11" s="2"/>
      <c r="BU11" s="6">
        <f>-IF(BU29&lt;0,0,(BU17+BS29)*'Enter and Change Data Here'!$O$118/100)</f>
        <v>0</v>
      </c>
      <c r="BV11" s="2"/>
      <c r="BW11" s="6">
        <f>-IF(BW29&lt;0,0,(BW17+BU29)*'Enter and Change Data Here'!$O$118/100)</f>
        <v>0</v>
      </c>
      <c r="BX11" s="2"/>
      <c r="BY11" s="6">
        <f>-IF(BY29&lt;0,0,(BY17+BW29)*'Enter and Change Data Here'!$O$118/100)</f>
        <v>0</v>
      </c>
      <c r="BZ11" s="2"/>
      <c r="CA11" s="6">
        <f>-IF(CA29&lt;0,0,(CA17+BY29)*'Enter and Change Data Here'!$O$118/100)</f>
        <v>0</v>
      </c>
      <c r="CB11" s="2"/>
      <c r="CC11" s="6">
        <f>-IF(CC29&lt;0,0,(CC17+CA29)*'Enter and Change Data Here'!$O$118/100)</f>
        <v>0</v>
      </c>
      <c r="CD11" s="2"/>
      <c r="CE11" s="6">
        <f>-IF(CE29&lt;0,0,(CE17+CC29)*'Enter and Change Data Here'!$O$118/100)</f>
        <v>0</v>
      </c>
      <c r="CF11" s="2"/>
      <c r="CG11" s="6">
        <f>-IF(CG29&lt;0,0,(CG17+CE29)*'Enter and Change Data Here'!$O$118/100)</f>
        <v>0</v>
      </c>
      <c r="CH11" s="2"/>
      <c r="CI11" s="6">
        <f>-IF(CI29&lt;0,0,(CI17+CG29)*'Enter and Change Data Here'!$O$118/100)</f>
        <v>0</v>
      </c>
      <c r="CJ11" s="2"/>
      <c r="CK11" s="6">
        <f>-IF(CK29&lt;0,0,(CK17+CI29)*'Enter and Change Data Here'!$O$118/100)</f>
        <v>0</v>
      </c>
      <c r="CL11" s="32"/>
      <c r="CM11" s="6">
        <f>-IF(CM29&lt;0,0,(CM17+CK29)*'Enter and Change Data Here'!$O$118/100)</f>
        <v>0</v>
      </c>
      <c r="CN11" s="2"/>
      <c r="CO11" s="6">
        <f>-IF(CO29&lt;0,0,(CO17+CM29)*'Enter and Change Data Here'!$O$118/100)</f>
        <v>0</v>
      </c>
      <c r="CP11" s="2"/>
      <c r="CQ11" s="6">
        <f>-IF(CQ29&lt;0,0,(CQ17+CO29)*'Enter and Change Data Here'!$O$118/100)</f>
        <v>0</v>
      </c>
      <c r="CR11" s="2"/>
      <c r="CS11" s="6">
        <f>-IF(CS29&lt;0,0,(CS17+CQ29)*'Enter and Change Data Here'!$O$118/100)</f>
        <v>0</v>
      </c>
      <c r="CT11" s="2"/>
      <c r="CU11" s="6">
        <f>-IF(CU29&lt;0,0,(CU17+CS29)*'Enter and Change Data Here'!$O$118/100)</f>
        <v>0</v>
      </c>
      <c r="CW11" s="6">
        <f>-IF(CW29&lt;0,0,(CW17+CU29)*'Enter and Change Data Here'!$O$118/100)</f>
        <v>0</v>
      </c>
      <c r="CX11" s="2"/>
      <c r="CY11" s="6">
        <f>-IF(CY29&lt;0,0,(CY17+CW29)*'Enter and Change Data Here'!$O$118/100)</f>
        <v>0</v>
      </c>
      <c r="CZ11" s="2"/>
      <c r="DA11" s="6">
        <f>-IF(DA29&lt;0,0,(DA17+CY29)*'Enter and Change Data Here'!$O$118/100)</f>
        <v>0</v>
      </c>
      <c r="DB11" s="2"/>
      <c r="DC11" s="6">
        <f>-IF(DC29&lt;0,0,(DC17+DA29)*'Enter and Change Data Here'!$O$118/100)</f>
        <v>0</v>
      </c>
      <c r="DD11" s="2"/>
      <c r="DE11" s="6">
        <f>-IF(DE29&lt;0,0,(DE17+DC29)*'Enter and Change Data Here'!$O$118/100)</f>
        <v>0</v>
      </c>
      <c r="DF11" s="198"/>
      <c r="DG11" s="216"/>
      <c r="DH11" s="198"/>
    </row>
    <row r="12" spans="2:112" ht="12.75">
      <c r="B12" s="3"/>
      <c r="C12" s="2"/>
      <c r="D12" s="2"/>
      <c r="E12" s="2"/>
      <c r="F12" s="2"/>
      <c r="G12" s="150"/>
      <c r="H12" s="32"/>
      <c r="I12" s="6"/>
      <c r="J12" s="2"/>
      <c r="K12" s="6"/>
      <c r="L12" s="2"/>
      <c r="M12" s="6"/>
      <c r="N12" s="2"/>
      <c r="O12" s="6"/>
      <c r="P12" s="2"/>
      <c r="Q12" s="6"/>
      <c r="R12" s="2"/>
      <c r="S12" s="6"/>
      <c r="T12" s="2"/>
      <c r="U12" s="6"/>
      <c r="V12" s="2"/>
      <c r="W12" s="6"/>
      <c r="X12" s="2"/>
      <c r="Y12" s="6"/>
      <c r="Z12" s="2"/>
      <c r="AA12" s="6"/>
      <c r="AB12" s="2"/>
      <c r="AC12" s="6"/>
      <c r="AD12" s="32"/>
      <c r="AE12" s="6"/>
      <c r="AF12" s="2"/>
      <c r="AG12" s="6"/>
      <c r="AH12" s="2"/>
      <c r="AI12" s="6"/>
      <c r="AJ12" s="2"/>
      <c r="AK12" s="6"/>
      <c r="AL12" s="2"/>
      <c r="AM12" s="6"/>
      <c r="AO12" s="6"/>
      <c r="AP12" s="2"/>
      <c r="AQ12" s="6"/>
      <c r="AR12" s="2"/>
      <c r="AS12" s="6"/>
      <c r="AT12" s="2"/>
      <c r="AU12" s="6"/>
      <c r="AV12" s="2"/>
      <c r="AW12" s="6"/>
      <c r="AX12" s="32"/>
      <c r="AY12" s="6"/>
      <c r="AZ12" s="2"/>
      <c r="BA12" s="6"/>
      <c r="BB12" s="2"/>
      <c r="BC12" s="6"/>
      <c r="BD12" s="2"/>
      <c r="BE12" s="6"/>
      <c r="BF12" s="2"/>
      <c r="BG12" s="6"/>
      <c r="BH12" s="2"/>
      <c r="BI12" s="6"/>
      <c r="BJ12" s="2"/>
      <c r="BK12" s="6"/>
      <c r="BL12" s="2"/>
      <c r="BM12" s="6"/>
      <c r="BN12" s="2"/>
      <c r="BO12" s="6"/>
      <c r="BP12" s="2"/>
      <c r="BQ12" s="6"/>
      <c r="BR12" s="32"/>
      <c r="BS12" s="6"/>
      <c r="BT12" s="2"/>
      <c r="BU12" s="6"/>
      <c r="BV12" s="2"/>
      <c r="BW12" s="6"/>
      <c r="BX12" s="2"/>
      <c r="BY12" s="6"/>
      <c r="BZ12" s="2"/>
      <c r="CA12" s="6"/>
      <c r="CB12" s="2"/>
      <c r="CC12" s="6"/>
      <c r="CD12" s="2"/>
      <c r="CE12" s="6"/>
      <c r="CF12" s="2"/>
      <c r="CG12" s="6"/>
      <c r="CH12" s="2"/>
      <c r="CI12" s="6"/>
      <c r="CJ12" s="2"/>
      <c r="CK12" s="6"/>
      <c r="CL12" s="32"/>
      <c r="CM12" s="6"/>
      <c r="CN12" s="2"/>
      <c r="CO12" s="6"/>
      <c r="CP12" s="2"/>
      <c r="CQ12" s="6"/>
      <c r="CR12" s="2"/>
      <c r="CS12" s="6"/>
      <c r="CT12" s="2"/>
      <c r="CU12" s="6"/>
      <c r="CW12" s="6"/>
      <c r="CX12" s="2"/>
      <c r="CY12" s="6"/>
      <c r="CZ12" s="2"/>
      <c r="DA12" s="6"/>
      <c r="DB12" s="2"/>
      <c r="DC12" s="6"/>
      <c r="DD12" s="2"/>
      <c r="DE12" s="6"/>
      <c r="DF12" s="198"/>
      <c r="DG12" s="3"/>
      <c r="DH12" s="198"/>
    </row>
    <row r="13" spans="2:112" s="14" customFormat="1" ht="12.75">
      <c r="B13" s="177"/>
      <c r="C13" s="12" t="s">
        <v>190</v>
      </c>
      <c r="D13" s="15"/>
      <c r="E13" s="15"/>
      <c r="F13" s="15"/>
      <c r="G13" s="178" t="str">
        <f>CONCATENATE("(",'Enter and Change Data Here'!$G$13,")")</f>
        <v>($US)</v>
      </c>
      <c r="H13" s="179"/>
      <c r="I13" s="180">
        <f>SUM(I7:I11)</f>
        <v>-3000000</v>
      </c>
      <c r="J13" s="15"/>
      <c r="K13" s="180">
        <f>SUM(K7:K11)</f>
        <v>-7366101.753168175</v>
      </c>
      <c r="L13" s="15"/>
      <c r="M13" s="180">
        <f>SUM(M7:M11)</f>
        <v>-7431821.753168175</v>
      </c>
      <c r="N13" s="15"/>
      <c r="O13" s="180">
        <f>SUM(O7:O11)</f>
        <v>-7498856.153168174</v>
      </c>
      <c r="P13" s="15"/>
      <c r="Q13" s="180">
        <f>SUM(Q7:Q11)</f>
        <v>-7567231.241168175</v>
      </c>
      <c r="R13" s="15"/>
      <c r="S13" s="180">
        <f>SUM(S7:S11)</f>
        <v>-7636973.830928175</v>
      </c>
      <c r="T13" s="15"/>
      <c r="U13" s="180">
        <f>SUM(U7:U11)</f>
        <v>-7708111.272483375</v>
      </c>
      <c r="V13" s="15"/>
      <c r="W13" s="180">
        <f>SUM(W7:W11)</f>
        <v>-7780671.46286968</v>
      </c>
      <c r="X13" s="15"/>
      <c r="Y13" s="180">
        <f>SUM(Y7:Y11)</f>
        <v>-7854682.857063709</v>
      </c>
      <c r="Z13" s="15"/>
      <c r="AA13" s="180">
        <f>SUM(AA7:AA11)</f>
        <v>-10938294.22890791</v>
      </c>
      <c r="AB13" s="15"/>
      <c r="AC13" s="180">
        <f>SUM(AC7:AC11)</f>
        <v>-13043105.227714345</v>
      </c>
      <c r="AD13" s="179"/>
      <c r="AE13" s="180">
        <f>SUM(AE7:AE11)</f>
        <v>-13223463.686369317</v>
      </c>
      <c r="AF13" s="15"/>
      <c r="AG13" s="180">
        <f>SUM(AG7:AG11)</f>
        <v>-13410673.07997574</v>
      </c>
      <c r="AH13" s="15"/>
      <c r="AI13" s="180">
        <f>SUM(AI7:AI11)</f>
        <v>-13605223.191992864</v>
      </c>
      <c r="AJ13" s="15"/>
      <c r="AK13" s="180">
        <f>SUM(AK7:AK11)</f>
        <v>-13807645.958635934</v>
      </c>
      <c r="AL13" s="15"/>
      <c r="AM13" s="180">
        <f>SUM(AM7:AM11)</f>
        <v>-14018519.230151715</v>
      </c>
      <c r="AN13" s="158"/>
      <c r="AO13" s="180">
        <f>SUM(AO7:AO11)</f>
        <v>-14238470.870020188</v>
      </c>
      <c r="AP13" s="15"/>
      <c r="AQ13" s="180">
        <f>SUM(AQ7:AQ11)</f>
        <v>-14468183.222484611</v>
      </c>
      <c r="AR13" s="15"/>
      <c r="AS13" s="180">
        <f>SUM(AS7:AS11)</f>
        <v>-14708397.981548078</v>
      </c>
      <c r="AT13" s="15"/>
      <c r="AU13" s="180">
        <f>SUM(AU7:AU11)</f>
        <v>-14959921.497557053</v>
      </c>
      <c r="AV13" s="15"/>
      <c r="AW13" s="180">
        <f>SUM(AW7:AW11)</f>
        <v>-15223630.56074279</v>
      </c>
      <c r="AX13" s="179"/>
      <c r="AY13" s="180">
        <f>SUM(AY7:AY11)</f>
        <v>-11400376.951466633</v>
      </c>
      <c r="AZ13" s="15"/>
      <c r="BA13" s="180">
        <f>SUM(BA7:BA11)</f>
        <v>-11543797.659840409</v>
      </c>
      <c r="BB13" s="15"/>
      <c r="BC13" s="180">
        <f>SUM(BC7:BC11)</f>
        <v>-11689238.514075106</v>
      </c>
      <c r="BD13" s="15"/>
      <c r="BE13" s="180">
        <f>SUM(BE7:BE11)</f>
        <v>-11836731.434404872</v>
      </c>
      <c r="BF13" s="15"/>
      <c r="BG13" s="180">
        <f>SUM(BG7:BG11)</f>
        <v>-11986308.894641722</v>
      </c>
      <c r="BH13" s="15"/>
      <c r="BI13" s="180">
        <f>SUM(BI7:BI11)</f>
        <v>0</v>
      </c>
      <c r="BJ13" s="15"/>
      <c r="BK13" s="180">
        <f>SUM(BK7:BK11)</f>
        <v>0</v>
      </c>
      <c r="BL13" s="15"/>
      <c r="BM13" s="180">
        <f>SUM(BM7:BM11)</f>
        <v>0</v>
      </c>
      <c r="BN13" s="15"/>
      <c r="BO13" s="180">
        <f>SUM(BO7:BO11)</f>
        <v>0</v>
      </c>
      <c r="BP13" s="15"/>
      <c r="BQ13" s="180">
        <f>SUM(BQ7:BQ11)</f>
        <v>0</v>
      </c>
      <c r="BR13" s="179"/>
      <c r="BS13" s="180">
        <f>SUM(BS7:BS11)</f>
        <v>0</v>
      </c>
      <c r="BT13" s="15"/>
      <c r="BU13" s="180">
        <f>SUM(BU7:BU11)</f>
        <v>0</v>
      </c>
      <c r="BV13" s="15"/>
      <c r="BW13" s="180">
        <f>SUM(BW7:BW11)</f>
        <v>0</v>
      </c>
      <c r="BX13" s="15"/>
      <c r="BY13" s="180">
        <f>SUM(BY7:BY11)</f>
        <v>0</v>
      </c>
      <c r="BZ13" s="15"/>
      <c r="CA13" s="180">
        <f>SUM(CA7:CA11)</f>
        <v>0</v>
      </c>
      <c r="CB13" s="15"/>
      <c r="CC13" s="180">
        <f>SUM(CC7:CC11)</f>
        <v>0</v>
      </c>
      <c r="CD13" s="15"/>
      <c r="CE13" s="180">
        <f>SUM(CE7:CE11)</f>
        <v>0</v>
      </c>
      <c r="CF13" s="15"/>
      <c r="CG13" s="180">
        <f>SUM(CG7:CG11)</f>
        <v>0</v>
      </c>
      <c r="CH13" s="15"/>
      <c r="CI13" s="180">
        <f>SUM(CI7:CI11)</f>
        <v>0</v>
      </c>
      <c r="CJ13" s="15"/>
      <c r="CK13" s="180">
        <f>SUM(CK7:CK11)</f>
        <v>0</v>
      </c>
      <c r="CL13" s="179"/>
      <c r="CM13" s="180">
        <f>SUM(CM7:CM11)</f>
        <v>0</v>
      </c>
      <c r="CN13" s="15"/>
      <c r="CO13" s="180">
        <f>SUM(CO7:CO11)</f>
        <v>0</v>
      </c>
      <c r="CP13" s="15"/>
      <c r="CQ13" s="180">
        <f>SUM(CQ7:CQ11)</f>
        <v>0</v>
      </c>
      <c r="CR13" s="15"/>
      <c r="CS13" s="180">
        <f>SUM(CS7:CS11)</f>
        <v>0</v>
      </c>
      <c r="CT13" s="15"/>
      <c r="CU13" s="180">
        <f>SUM(CU7:CU11)</f>
        <v>0</v>
      </c>
      <c r="CV13" s="158"/>
      <c r="CW13" s="180">
        <f>SUM(CW7:CW11)</f>
        <v>0</v>
      </c>
      <c r="CX13" s="15"/>
      <c r="CY13" s="180">
        <f>SUM(CY7:CY11)</f>
        <v>0</v>
      </c>
      <c r="CZ13" s="15"/>
      <c r="DA13" s="180">
        <f>SUM(DA7:DA11)</f>
        <v>0</v>
      </c>
      <c r="DB13" s="15"/>
      <c r="DC13" s="180">
        <f>SUM(DC7:DC11)</f>
        <v>0</v>
      </c>
      <c r="DD13" s="15"/>
      <c r="DE13" s="180">
        <f>SUM(DE7:DE11)</f>
        <v>0</v>
      </c>
      <c r="DF13" s="198"/>
      <c r="DG13" s="214"/>
      <c r="DH13" s="200"/>
    </row>
    <row r="14" spans="2:112" ht="12.75">
      <c r="B14" s="3"/>
      <c r="C14" s="2"/>
      <c r="D14" s="2"/>
      <c r="E14" s="2"/>
      <c r="F14" s="2"/>
      <c r="G14" s="150"/>
      <c r="H14" s="32"/>
      <c r="I14" s="139"/>
      <c r="J14" s="2"/>
      <c r="K14" s="6"/>
      <c r="L14" s="2"/>
      <c r="M14" s="6"/>
      <c r="N14" s="2"/>
      <c r="O14" s="6"/>
      <c r="P14" s="2"/>
      <c r="Q14" s="6"/>
      <c r="R14" s="2"/>
      <c r="S14" s="6"/>
      <c r="T14" s="2"/>
      <c r="U14" s="6"/>
      <c r="V14" s="2"/>
      <c r="W14" s="6"/>
      <c r="X14" s="2"/>
      <c r="Y14" s="6"/>
      <c r="Z14" s="2"/>
      <c r="AA14" s="6"/>
      <c r="AB14" s="2"/>
      <c r="AC14" s="6"/>
      <c r="AD14" s="32"/>
      <c r="AE14" s="6"/>
      <c r="AF14" s="2"/>
      <c r="AG14" s="6"/>
      <c r="AH14" s="2"/>
      <c r="AI14" s="6"/>
      <c r="AJ14" s="2"/>
      <c r="AK14" s="6"/>
      <c r="AL14" s="2"/>
      <c r="AM14" s="6"/>
      <c r="AO14" s="6"/>
      <c r="AP14" s="2"/>
      <c r="AQ14" s="6"/>
      <c r="AR14" s="2"/>
      <c r="AS14" s="6"/>
      <c r="AT14" s="2"/>
      <c r="AU14" s="6"/>
      <c r="AV14" s="2"/>
      <c r="AW14" s="6"/>
      <c r="AX14" s="32"/>
      <c r="AY14" s="6"/>
      <c r="AZ14" s="2"/>
      <c r="BA14" s="6"/>
      <c r="BB14" s="2"/>
      <c r="BC14" s="6"/>
      <c r="BD14" s="2"/>
      <c r="BE14" s="6"/>
      <c r="BF14" s="2"/>
      <c r="BG14" s="6"/>
      <c r="BH14" s="2"/>
      <c r="BI14" s="6"/>
      <c r="BJ14" s="2"/>
      <c r="BK14" s="6"/>
      <c r="BL14" s="2"/>
      <c r="BM14" s="6"/>
      <c r="BN14" s="2"/>
      <c r="BO14" s="6"/>
      <c r="BP14" s="2"/>
      <c r="BQ14" s="6"/>
      <c r="BR14" s="32"/>
      <c r="BS14" s="6"/>
      <c r="BT14" s="2"/>
      <c r="BU14" s="6"/>
      <c r="BV14" s="2"/>
      <c r="BW14" s="6"/>
      <c r="BX14" s="2"/>
      <c r="BY14" s="6"/>
      <c r="BZ14" s="2"/>
      <c r="CA14" s="6"/>
      <c r="CB14" s="2"/>
      <c r="CC14" s="6"/>
      <c r="CD14" s="2"/>
      <c r="CE14" s="6"/>
      <c r="CF14" s="2"/>
      <c r="CG14" s="6"/>
      <c r="CH14" s="2"/>
      <c r="CI14" s="6"/>
      <c r="CJ14" s="2"/>
      <c r="CK14" s="6"/>
      <c r="CL14" s="32"/>
      <c r="CM14" s="6"/>
      <c r="CN14" s="2"/>
      <c r="CO14" s="6"/>
      <c r="CP14" s="2"/>
      <c r="CQ14" s="6"/>
      <c r="CR14" s="2"/>
      <c r="CS14" s="6"/>
      <c r="CT14" s="2"/>
      <c r="CU14" s="6"/>
      <c r="CW14" s="6"/>
      <c r="CX14" s="2"/>
      <c r="CY14" s="6"/>
      <c r="CZ14" s="2"/>
      <c r="DA14" s="6"/>
      <c r="DB14" s="2"/>
      <c r="DC14" s="6"/>
      <c r="DD14" s="2"/>
      <c r="DE14" s="6"/>
      <c r="DF14" s="198"/>
      <c r="DG14" s="3"/>
      <c r="DH14" s="198"/>
    </row>
    <row r="15" spans="2:112" ht="12.75">
      <c r="B15" s="3"/>
      <c r="C15" s="2" t="s">
        <v>162</v>
      </c>
      <c r="D15" s="2"/>
      <c r="E15" s="2"/>
      <c r="F15" s="2"/>
      <c r="G15" s="150" t="str">
        <f>CONCATENATE("(",'Enter and Change Data Here'!$G$13,")")</f>
        <v>($US)</v>
      </c>
      <c r="H15" s="32"/>
      <c r="I15" s="139">
        <f>0</f>
        <v>0</v>
      </c>
      <c r="J15" s="2"/>
      <c r="K15" s="147">
        <f>-'Enter and Change Data Here'!O90/100*'Enter and Change Data Here'!$O$26</f>
        <v>-22392478.81355932</v>
      </c>
      <c r="L15" s="151"/>
      <c r="M15" s="147">
        <f>-'Enter and Change Data Here'!O91/100*'Enter and Change Data Here'!$O$26</f>
        <v>-44784957.62711864</v>
      </c>
      <c r="N15" s="151"/>
      <c r="O15" s="147">
        <f>-'Enter and Change Data Here'!O92/100*'Enter and Change Data Here'!$O$26</f>
        <v>-22392478.81355932</v>
      </c>
      <c r="P15" s="151"/>
      <c r="Q15" s="147">
        <f>-'Enter and Change Data Here'!O93/100*'Enter and Change Data Here'!$O$26</f>
        <v>0</v>
      </c>
      <c r="R15" s="151"/>
      <c r="S15" s="147">
        <f>-'Enter and Change Data Here'!O94/100*'Enter and Change Data Here'!$O$26</f>
        <v>0</v>
      </c>
      <c r="T15" s="151"/>
      <c r="U15" s="147">
        <f>-'Enter and Change Data Here'!O95/100*'Enter and Change Data Here'!$O$26</f>
        <v>0</v>
      </c>
      <c r="V15" s="151"/>
      <c r="W15" s="147">
        <f>-'Enter and Change Data Here'!O96/100*'Enter and Change Data Here'!$O$26</f>
        <v>0</v>
      </c>
      <c r="X15" s="151"/>
      <c r="Y15" s="147">
        <f>-'Enter and Change Data Here'!O97/100*'Enter and Change Data Here'!$O$26</f>
        <v>0</v>
      </c>
      <c r="Z15" s="151"/>
      <c r="AA15" s="147">
        <f>-'Enter and Change Data Here'!O98/100*'Enter and Change Data Here'!$O$26</f>
        <v>0</v>
      </c>
      <c r="AB15" s="151"/>
      <c r="AC15" s="147">
        <f>-'Enter and Change Data Here'!O99/100*'Enter and Change Data Here'!$O$26</f>
        <v>0</v>
      </c>
      <c r="AD15" s="32"/>
      <c r="AE15" s="147">
        <f>-'Enter and Change Data Here'!O100/100*'Enter and Change Data Here'!$O$26</f>
        <v>0</v>
      </c>
      <c r="AF15" s="151"/>
      <c r="AG15" s="147">
        <f>-'Enter and Change Data Here'!O101/100*'Enter and Change Data Here'!$O$26</f>
        <v>0</v>
      </c>
      <c r="AH15" s="151"/>
      <c r="AI15" s="147">
        <f>-'Enter and Change Data Here'!O102/100*'Enter and Change Data Here'!$O$26</f>
        <v>0</v>
      </c>
      <c r="AJ15" s="151"/>
      <c r="AK15" s="147">
        <f>-'Enter and Change Data Here'!O103/100*'Enter and Change Data Here'!$O$26</f>
        <v>0</v>
      </c>
      <c r="AL15" s="151"/>
      <c r="AM15" s="147">
        <f>-'Enter and Change Data Here'!O104/100*'Enter and Change Data Here'!$O$26</f>
        <v>0</v>
      </c>
      <c r="AN15" s="151"/>
      <c r="AO15" s="147">
        <f>-'Enter and Change Data Here'!O105/100*'Enter and Change Data Here'!$O$26</f>
        <v>0</v>
      </c>
      <c r="AP15" s="151"/>
      <c r="AQ15" s="147">
        <f>-'Enter and Change Data Here'!O106/100*'Enter and Change Data Here'!$O$26</f>
        <v>0</v>
      </c>
      <c r="AR15" s="151"/>
      <c r="AS15" s="147">
        <f>-'Enter and Change Data Here'!O107/100*'Enter and Change Data Here'!$O$26</f>
        <v>0</v>
      </c>
      <c r="AT15" s="151"/>
      <c r="AU15" s="147">
        <f>-'Enter and Change Data Here'!O108/100*'Enter and Change Data Here'!$O$26</f>
        <v>0</v>
      </c>
      <c r="AV15" s="151"/>
      <c r="AW15" s="147">
        <f>-'Enter and Change Data Here'!O109/100*'Enter and Change Data Here'!$O$26</f>
        <v>0</v>
      </c>
      <c r="AX15" s="32"/>
      <c r="AY15" s="147">
        <f>-'Enter and Change Data Here'!O110/100*'Enter and Change Data Here'!$O$26</f>
        <v>0</v>
      </c>
      <c r="AZ15" s="151"/>
      <c r="BA15" s="147">
        <f>-'Enter and Change Data Here'!O111/100*'Enter and Change Data Here'!$O$26</f>
        <v>0</v>
      </c>
      <c r="BB15" s="151"/>
      <c r="BC15" s="147">
        <f>-'Enter and Change Data Here'!O112/100*'Enter and Change Data Here'!$O$26</f>
        <v>0</v>
      </c>
      <c r="BD15" s="151"/>
      <c r="BE15" s="147">
        <f>-'Enter and Change Data Here'!O113/100*'Enter and Change Data Here'!$O$26</f>
        <v>0</v>
      </c>
      <c r="BF15" s="151"/>
      <c r="BG15" s="147">
        <f>-'Enter and Change Data Here'!O114/100*'Enter and Change Data Here'!$O$26</f>
        <v>0</v>
      </c>
      <c r="BH15" s="151"/>
      <c r="BI15" s="152">
        <f>0</f>
        <v>0</v>
      </c>
      <c r="BJ15" s="151"/>
      <c r="BK15" s="152">
        <f>0</f>
        <v>0</v>
      </c>
      <c r="BL15" s="151"/>
      <c r="BM15" s="152">
        <f>0</f>
        <v>0</v>
      </c>
      <c r="BN15" s="151"/>
      <c r="BO15" s="152">
        <f>0</f>
        <v>0</v>
      </c>
      <c r="BP15" s="151"/>
      <c r="BQ15" s="152">
        <f>0</f>
        <v>0</v>
      </c>
      <c r="BR15" s="32"/>
      <c r="BS15" s="152">
        <f>0</f>
        <v>0</v>
      </c>
      <c r="BT15" s="151"/>
      <c r="BU15" s="152">
        <f>0</f>
        <v>0</v>
      </c>
      <c r="BV15" s="151"/>
      <c r="BW15" s="152">
        <f>0</f>
        <v>0</v>
      </c>
      <c r="BX15" s="151"/>
      <c r="BY15" s="152">
        <f>0</f>
        <v>0</v>
      </c>
      <c r="BZ15" s="151"/>
      <c r="CA15" s="152">
        <f>0</f>
        <v>0</v>
      </c>
      <c r="CB15" s="151"/>
      <c r="CC15" s="152">
        <f>0</f>
        <v>0</v>
      </c>
      <c r="CD15" s="151"/>
      <c r="CE15" s="152">
        <f>0</f>
        <v>0</v>
      </c>
      <c r="CF15" s="151"/>
      <c r="CG15" s="152">
        <f>0</f>
        <v>0</v>
      </c>
      <c r="CH15" s="151"/>
      <c r="CI15" s="152">
        <f>0</f>
        <v>0</v>
      </c>
      <c r="CJ15" s="151"/>
      <c r="CK15" s="152">
        <f>0</f>
        <v>0</v>
      </c>
      <c r="CL15" s="32"/>
      <c r="CM15" s="152">
        <f>0</f>
        <v>0</v>
      </c>
      <c r="CN15" s="151"/>
      <c r="CO15" s="152">
        <f>0</f>
        <v>0</v>
      </c>
      <c r="CP15" s="151"/>
      <c r="CQ15" s="152">
        <f>0</f>
        <v>0</v>
      </c>
      <c r="CR15" s="151"/>
      <c r="CS15" s="152">
        <f>0</f>
        <v>0</v>
      </c>
      <c r="CT15" s="151"/>
      <c r="CU15" s="152">
        <f>0</f>
        <v>0</v>
      </c>
      <c r="CV15" s="151"/>
      <c r="CW15" s="152">
        <f>0</f>
        <v>0</v>
      </c>
      <c r="CX15" s="151"/>
      <c r="CY15" s="152">
        <f>0</f>
        <v>0</v>
      </c>
      <c r="CZ15" s="151"/>
      <c r="DA15" s="152">
        <f>0</f>
        <v>0</v>
      </c>
      <c r="DB15" s="151"/>
      <c r="DC15" s="152">
        <f>0</f>
        <v>0</v>
      </c>
      <c r="DD15" s="151"/>
      <c r="DE15" s="152">
        <f>0</f>
        <v>0</v>
      </c>
      <c r="DF15" s="198"/>
      <c r="DG15" s="3"/>
      <c r="DH15" s="198"/>
    </row>
    <row r="16" spans="2:112" ht="12.75">
      <c r="B16" s="3"/>
      <c r="C16" s="2" t="s">
        <v>80</v>
      </c>
      <c r="D16" s="2"/>
      <c r="E16" s="2"/>
      <c r="F16" s="2"/>
      <c r="G16" s="150" t="str">
        <f>CONCATENATE("(",'Enter and Change Data Here'!$G$13,")")</f>
        <v>($US)</v>
      </c>
      <c r="H16" s="32"/>
      <c r="I16" s="139">
        <f>0</f>
        <v>0</v>
      </c>
      <c r="J16" s="2"/>
      <c r="K16" s="139">
        <f>-I50*'Enter and Change Data Here'!$G$120/100</f>
        <v>-3368516.9491525437</v>
      </c>
      <c r="L16" s="2"/>
      <c r="M16" s="139">
        <f>-K50*'Enter and Change Data Here'!$G$120/100</f>
        <v>-3302674.3167911367</v>
      </c>
      <c r="N16" s="2"/>
      <c r="O16" s="139">
        <f>-M50*'Enter and Change Data Here'!$G$120/100</f>
        <v>-3230905.8475172035</v>
      </c>
      <c r="P16" s="2"/>
      <c r="Q16" s="139">
        <f>-O50*'Enter and Change Data Here'!$G$120/100</f>
        <v>-3152678.2160086166</v>
      </c>
      <c r="R16" s="2"/>
      <c r="S16" s="139">
        <f>-Q50*'Enter and Change Data Here'!$G$120/100</f>
        <v>-3067410.0976642566</v>
      </c>
      <c r="T16" s="2"/>
      <c r="U16" s="139">
        <f>-S50*'Enter and Change Data Here'!$G$120/100</f>
        <v>-2974467.8486689045</v>
      </c>
      <c r="V16" s="2"/>
      <c r="W16" s="139">
        <f>-U50*'Enter and Change Data Here'!$G$120/100</f>
        <v>-2873160.7972639697</v>
      </c>
      <c r="X16" s="2"/>
      <c r="Y16" s="139">
        <f>-W50*'Enter and Change Data Here'!$G$120/100</f>
        <v>-2762736.111232592</v>
      </c>
      <c r="Z16" s="2"/>
      <c r="AA16" s="139">
        <f>-Y50*'Enter and Change Data Here'!$G$120/100</f>
        <v>-2642373.2034583897</v>
      </c>
      <c r="AB16" s="2"/>
      <c r="AC16" s="139">
        <f>-AA50*'Enter and Change Data Here'!$G$120/100</f>
        <v>-2511177.633984509</v>
      </c>
      <c r="AD16" s="32"/>
      <c r="AE16" s="139">
        <f>-AC50*'Enter and Change Data Here'!$G$120/100</f>
        <v>-2368174.4632579796</v>
      </c>
      <c r="AF16" s="2"/>
      <c r="AG16" s="139">
        <f>-AE50*'Enter and Change Data Here'!$G$120/100</f>
        <v>-2212301.007166062</v>
      </c>
      <c r="AH16" s="2"/>
      <c r="AI16" s="139">
        <f>-AG50*'Enter and Change Data Here'!$G$120/100</f>
        <v>-2042398.940025872</v>
      </c>
      <c r="AJ16" s="2"/>
      <c r="AK16" s="139">
        <f>-AI50*'Enter and Change Data Here'!$G$120/100</f>
        <v>-1857205.686843065</v>
      </c>
      <c r="AL16" s="2"/>
      <c r="AM16" s="139">
        <f>-AK50*'Enter and Change Data Here'!$G$120/100</f>
        <v>-1655345.0408738053</v>
      </c>
      <c r="AN16" s="2"/>
      <c r="AO16" s="139">
        <f>-AM50*'Enter and Change Data Here'!$G$120/100</f>
        <v>-1435316.9367673118</v>
      </c>
      <c r="AP16" s="2"/>
      <c r="AQ16" s="139">
        <f>-AO50*'Enter and Change Data Here'!$G$120/100</f>
        <v>-1195486.3032912342</v>
      </c>
      <c r="AR16" s="2"/>
      <c r="AS16" s="139">
        <f>-AQ50*'Enter and Change Data Here'!$G$120/100</f>
        <v>-934070.9128023094</v>
      </c>
      <c r="AT16" s="2"/>
      <c r="AU16" s="139">
        <f>-AS50*'Enter and Change Data Here'!$G$120/100</f>
        <v>-649128.1371693815</v>
      </c>
      <c r="AV16" s="2"/>
      <c r="AW16" s="139">
        <f>-AU50*'Enter and Change Data Here'!$G$120/100</f>
        <v>-338540.5117294902</v>
      </c>
      <c r="AX16" s="32"/>
      <c r="AY16" s="139">
        <f>-AW50*'Enter and Change Data Here'!$G$120/100</f>
        <v>0</v>
      </c>
      <c r="AZ16" s="2"/>
      <c r="BA16" s="139">
        <f>-AY50*'Enter and Change Data Here'!$G$120/100</f>
        <v>0</v>
      </c>
      <c r="BB16" s="2"/>
      <c r="BC16" s="139">
        <f>-BA50*'Enter and Change Data Here'!$G$120/100</f>
        <v>0</v>
      </c>
      <c r="BD16" s="2"/>
      <c r="BE16" s="139">
        <f>-BC50*'Enter and Change Data Here'!$G$120/100</f>
        <v>0</v>
      </c>
      <c r="BF16" s="2"/>
      <c r="BG16" s="139">
        <f>-BE50*'Enter and Change Data Here'!$G$120/100</f>
        <v>0</v>
      </c>
      <c r="BH16" s="2"/>
      <c r="BI16" s="139">
        <f>-BG50*'Enter and Change Data Here'!$G$120/100</f>
        <v>0</v>
      </c>
      <c r="BJ16" s="2"/>
      <c r="BK16" s="139">
        <f>-BI50*'Enter and Change Data Here'!$G$120/100</f>
        <v>0</v>
      </c>
      <c r="BL16" s="2"/>
      <c r="BM16" s="139">
        <f>-BK50*'Enter and Change Data Here'!$G$120/100</f>
        <v>0</v>
      </c>
      <c r="BN16" s="2"/>
      <c r="BO16" s="139">
        <f>-BM50*'Enter and Change Data Here'!$G$120/100</f>
        <v>0</v>
      </c>
      <c r="BP16" s="2"/>
      <c r="BQ16" s="139">
        <f>-BO50*'Enter and Change Data Here'!$G$120/100</f>
        <v>0</v>
      </c>
      <c r="BR16" s="32"/>
      <c r="BS16" s="139">
        <f>-BQ50*'Enter and Change Data Here'!$G$120/100</f>
        <v>0</v>
      </c>
      <c r="BT16" s="2"/>
      <c r="BU16" s="139">
        <f>-BS50*'Enter and Change Data Here'!$G$120/100</f>
        <v>0</v>
      </c>
      <c r="BV16" s="2"/>
      <c r="BW16" s="139">
        <f>-BU50*'Enter and Change Data Here'!$G$120/100</f>
        <v>0</v>
      </c>
      <c r="BX16" s="2"/>
      <c r="BY16" s="139">
        <f>-BW50*'Enter and Change Data Here'!$G$120/100</f>
        <v>0</v>
      </c>
      <c r="BZ16" s="2"/>
      <c r="CA16" s="139">
        <f>-BY50*'Enter and Change Data Here'!$G$120/100</f>
        <v>0</v>
      </c>
      <c r="CB16" s="2"/>
      <c r="CC16" s="139">
        <f>-CA50*'Enter and Change Data Here'!$G$120/100</f>
        <v>0</v>
      </c>
      <c r="CD16" s="2"/>
      <c r="CE16" s="139">
        <f>-CC50*'Enter and Change Data Here'!$G$120/100</f>
        <v>0</v>
      </c>
      <c r="CF16" s="2"/>
      <c r="CG16" s="139">
        <f>-CE50*'Enter and Change Data Here'!$G$120/100</f>
        <v>0</v>
      </c>
      <c r="CH16" s="2"/>
      <c r="CI16" s="139">
        <f>-CG50*'Enter and Change Data Here'!$G$120/100</f>
        <v>0</v>
      </c>
      <c r="CJ16" s="2"/>
      <c r="CK16" s="139">
        <f>-CI50*'Enter and Change Data Here'!$G$120/100</f>
        <v>0</v>
      </c>
      <c r="CL16" s="32"/>
      <c r="CM16" s="139">
        <f>-CK50*'Enter and Change Data Here'!$G$120/100</f>
        <v>0</v>
      </c>
      <c r="CN16" s="2"/>
      <c r="CO16" s="139">
        <f>-CM50*'Enter and Change Data Here'!$G$120/100</f>
        <v>0</v>
      </c>
      <c r="CP16" s="2"/>
      <c r="CQ16" s="139">
        <f>-CO50*'Enter and Change Data Here'!$G$120/100</f>
        <v>0</v>
      </c>
      <c r="CR16" s="2"/>
      <c r="CS16" s="139">
        <f>-CQ50*'Enter and Change Data Here'!$G$120/100</f>
        <v>0</v>
      </c>
      <c r="CT16" s="2"/>
      <c r="CU16" s="139">
        <f>-CS50*'Enter and Change Data Here'!$G$120/100</f>
        <v>0</v>
      </c>
      <c r="CV16" s="2"/>
      <c r="CW16" s="139">
        <f>-CU50*'Enter and Change Data Here'!$G$120/100</f>
        <v>0</v>
      </c>
      <c r="CX16" s="2"/>
      <c r="CY16" s="139">
        <f>-CW50*'Enter and Change Data Here'!$G$120/100</f>
        <v>0</v>
      </c>
      <c r="CZ16" s="2"/>
      <c r="DA16" s="139">
        <f>-CY50*'Enter and Change Data Here'!$G$120/100</f>
        <v>0</v>
      </c>
      <c r="DB16" s="2"/>
      <c r="DC16" s="139">
        <f>-DA50*'Enter and Change Data Here'!$G$120/100</f>
        <v>0</v>
      </c>
      <c r="DD16" s="2"/>
      <c r="DE16" s="139">
        <f>-DC50*'Enter and Change Data Here'!$G$120/100</f>
        <v>0</v>
      </c>
      <c r="DF16" s="198"/>
      <c r="DG16" s="3"/>
      <c r="DH16" s="198"/>
    </row>
    <row r="17" spans="2:112" ht="12.75">
      <c r="B17" s="3"/>
      <c r="C17" s="2" t="s">
        <v>167</v>
      </c>
      <c r="D17" s="2"/>
      <c r="E17" s="2"/>
      <c r="F17" s="2"/>
      <c r="G17" s="150" t="str">
        <f>CONCATENATE("(",'Enter and Change Data Here'!$G$13,")")</f>
        <v>($US)</v>
      </c>
      <c r="H17" s="32"/>
      <c r="I17" s="6">
        <f>I5+I7+I8+I9+I16+I26</f>
        <v>-3000000</v>
      </c>
      <c r="J17" s="2"/>
      <c r="K17" s="6">
        <f>K5+K7+K8+K9+K15+K16</f>
        <v>-14254131.762711864</v>
      </c>
      <c r="L17" s="2"/>
      <c r="M17" s="6">
        <f>M5+M7+M8+M9+M15+M16</f>
        <v>-34743395.46390978</v>
      </c>
      <c r="N17" s="2"/>
      <c r="O17" s="6">
        <f>O5+O7+O8+O9+O15+O16</f>
        <v>-11292964.277076522</v>
      </c>
      <c r="P17" s="2"/>
      <c r="Q17" s="6">
        <f>Q5+Q7+Q8+Q9+Q15+Q16</f>
        <v>11286658.827831384</v>
      </c>
      <c r="R17" s="2"/>
      <c r="S17" s="6">
        <f>S5+S7+S8+S9+S15+S16</f>
        <v>11481249.021734145</v>
      </c>
      <c r="T17" s="2"/>
      <c r="U17" s="6">
        <f>U5+U7+U8+U9+U15+U16</f>
        <v>11683909.141145878</v>
      </c>
      <c r="V17" s="2"/>
      <c r="W17" s="6">
        <f>W5+W7+W8+W9+W15+W16</f>
        <v>11895319.867255814</v>
      </c>
      <c r="X17" s="2"/>
      <c r="Y17" s="6">
        <f>Y5+Y7+Y8+Y9+Y15+Y16</f>
        <v>12116223.662835369</v>
      </c>
      <c r="Z17" s="2"/>
      <c r="AA17" s="6">
        <f>AA5+AA7+AA8+AA9+AA15+AA16</f>
        <v>12347430.357311301</v>
      </c>
      <c r="AB17" s="2"/>
      <c r="AC17" s="6">
        <f>AC5+AC7+AC8+AC9+AC15+AC16</f>
        <v>12589823.235133145</v>
      </c>
      <c r="AD17" s="32"/>
      <c r="AE17" s="6">
        <f>AE5+AE7+AE8+AE9+AE15+AE16</f>
        <v>12844365.672745924</v>
      </c>
      <c r="AF17" s="2"/>
      <c r="AG17" s="6">
        <f>AG5+AG7+AG8+AG9+AG15+AG16</f>
        <v>13112108.373556847</v>
      </c>
      <c r="AH17" s="2"/>
      <c r="AI17" s="6">
        <f>AI5+AI7+AI8+AI9+AI15+AI16</f>
        <v>13394197.254730416</v>
      </c>
      <c r="AJ17" s="2"/>
      <c r="AK17" s="6">
        <f>AK5+AK7+AK8+AK9+AK15+AK16</f>
        <v>13691882.044491462</v>
      </c>
      <c r="AL17" s="2"/>
      <c r="AM17" s="6">
        <f>AM5+AM7+AM8+AM9+AM15+AM16</f>
        <v>14006525.653897358</v>
      </c>
      <c r="AN17" s="2"/>
      <c r="AO17" s="6">
        <f>AO5+AO7+AO8+AO9+AO15+AO16</f>
        <v>14339614.392797312</v>
      </c>
      <c r="AP17" s="2"/>
      <c r="AQ17" s="6">
        <f>AQ5+AQ7+AQ8+AQ9+AQ15+AQ16</f>
        <v>14692769.105971709</v>
      </c>
      <c r="AR17" s="2"/>
      <c r="AS17" s="6">
        <f>AS5+AS7+AS8+AS9+AS15+AS16</f>
        <v>15067757.312283993</v>
      </c>
      <c r="AT17" s="2"/>
      <c r="AU17" s="6">
        <f>AU5+AU7+AU8+AU9+AU15+AU16</f>
        <v>15466506.437133119</v>
      </c>
      <c r="AV17" s="2"/>
      <c r="AW17" s="6">
        <f>AW5+AW7+AW8+AW9+AW15+AW16</f>
        <v>15891118.236620676</v>
      </c>
      <c r="AX17" s="32"/>
      <c r="AY17" s="6">
        <f>AY5+AY7+AY8+AY9+AY15+AY16</f>
        <v>16343884.520704402</v>
      </c>
      <c r="AZ17" s="2"/>
      <c r="BA17" s="6">
        <f>BA5+BA7+BA8+BA9+BA15+BA16</f>
        <v>16458295.1344796</v>
      </c>
      <c r="BB17" s="2"/>
      <c r="BC17" s="6">
        <f>BC5+BC7+BC8+BC9+BC15+BC16</f>
        <v>16572873.289763913</v>
      </c>
      <c r="BD17" s="2"/>
      <c r="BE17" s="6">
        <f>BE5+BE7+BE8+BE9+BE15+BE16</f>
        <v>16687601.130679853</v>
      </c>
      <c r="BF17" s="2"/>
      <c r="BG17" s="6">
        <f>BG5+BG7+BG8+BG9+BG15+BG16</f>
        <v>16802460.23216533</v>
      </c>
      <c r="BH17" s="2"/>
      <c r="BI17" s="6">
        <f>BI5+BI7+BI8+BI9+BI15+BI16</f>
        <v>0</v>
      </c>
      <c r="BJ17" s="2"/>
      <c r="BK17" s="6">
        <f>BK5+BK7+BK8+BK9+BK15+BK16</f>
        <v>0</v>
      </c>
      <c r="BL17" s="2"/>
      <c r="BM17" s="6">
        <f>BM5+BM7+BM8+BM9+BM15+BM16</f>
        <v>0</v>
      </c>
      <c r="BN17" s="2"/>
      <c r="BO17" s="6">
        <f>BO5+BO7+BO8+BO9+BO15+BO16</f>
        <v>0</v>
      </c>
      <c r="BP17" s="2"/>
      <c r="BQ17" s="6">
        <f>BQ5+BQ7+BQ8+BQ9+BQ15+BQ16</f>
        <v>0</v>
      </c>
      <c r="BR17" s="32"/>
      <c r="BS17" s="6">
        <f>BS5+BS7+BS8+BS9+BS15+BS16</f>
        <v>0</v>
      </c>
      <c r="BT17" s="2"/>
      <c r="BU17" s="6">
        <f>BU5+BU7+BU8+BU9+BU15+BU16</f>
        <v>0</v>
      </c>
      <c r="BV17" s="2"/>
      <c r="BW17" s="6">
        <f>BW5+BW7+BW8+BW9+BW15+BW16</f>
        <v>0</v>
      </c>
      <c r="BX17" s="2"/>
      <c r="BY17" s="6">
        <f>BY5+BY7+BY8+BY9+BY15+BY16</f>
        <v>0</v>
      </c>
      <c r="BZ17" s="2"/>
      <c r="CA17" s="6">
        <f>CA5+CA7+CA8+CA9+CA15+CA16</f>
        <v>0</v>
      </c>
      <c r="CB17" s="2"/>
      <c r="CC17" s="6">
        <f>CC5+CC7+CC8+CC9+CC15+CC16</f>
        <v>0</v>
      </c>
      <c r="CD17" s="2"/>
      <c r="CE17" s="6">
        <f>CE5+CE7+CE8+CE9+CE15+CE16</f>
        <v>0</v>
      </c>
      <c r="CF17" s="2"/>
      <c r="CG17" s="6">
        <f>CG5+CG7+CG8+CG9+CG15+CG16</f>
        <v>0</v>
      </c>
      <c r="CH17" s="2"/>
      <c r="CI17" s="6">
        <f>CI5+CI7+CI8+CI9+CI15+CI16</f>
        <v>0</v>
      </c>
      <c r="CJ17" s="2"/>
      <c r="CK17" s="6">
        <f>CK5+CK7+CK8+CK9+CK15+CK16</f>
        <v>0</v>
      </c>
      <c r="CL17" s="32"/>
      <c r="CM17" s="6">
        <f>CM5+CM7+CM8+CM9+CM15+CM16</f>
        <v>0</v>
      </c>
      <c r="CN17" s="2"/>
      <c r="CO17" s="6">
        <f>CO5+CO7+CO8+CO9+CO15+CO16</f>
        <v>0</v>
      </c>
      <c r="CP17" s="2"/>
      <c r="CQ17" s="6">
        <f>CQ5+CQ7+CQ8+CQ9+CQ15+CQ16</f>
        <v>0</v>
      </c>
      <c r="CR17" s="2"/>
      <c r="CS17" s="6">
        <f>CS5+CS7+CS8+CS9+CS15+CS16</f>
        <v>0</v>
      </c>
      <c r="CT17" s="2"/>
      <c r="CU17" s="6">
        <f>CU5+CU7+CU8+CU9+CU15+CU16</f>
        <v>0</v>
      </c>
      <c r="CV17" s="2"/>
      <c r="CW17" s="6">
        <f>CW5+CW7+CW8+CW9+CW15+CW16</f>
        <v>0</v>
      </c>
      <c r="CX17" s="2"/>
      <c r="CY17" s="6">
        <f>CY5+CY7+CY8+CY9+CY15+CY16</f>
        <v>0</v>
      </c>
      <c r="CZ17" s="2"/>
      <c r="DA17" s="6">
        <f>DA5+DA7+DA8+DA9+DA15+DA16</f>
        <v>0</v>
      </c>
      <c r="DB17" s="2"/>
      <c r="DC17" s="6">
        <f>DC5+DC7+DC8+DC9+DC15+DC16</f>
        <v>0</v>
      </c>
      <c r="DD17" s="2"/>
      <c r="DE17" s="6">
        <f>DE5+DE7+DE8+DE9+DE15+DE16</f>
        <v>0</v>
      </c>
      <c r="DF17" s="198"/>
      <c r="DG17" s="3"/>
      <c r="DH17" s="198"/>
    </row>
    <row r="18" spans="2:112" ht="12.75">
      <c r="B18" s="3"/>
      <c r="C18" s="2"/>
      <c r="D18" s="2"/>
      <c r="E18" s="2"/>
      <c r="F18" s="2"/>
      <c r="G18" s="2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3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3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198"/>
      <c r="DG18" s="3"/>
      <c r="DH18" s="198"/>
    </row>
    <row r="19" spans="2:112" s="14" customFormat="1" ht="12.75">
      <c r="B19" s="177"/>
      <c r="C19" s="15" t="s">
        <v>163</v>
      </c>
      <c r="D19" s="15"/>
      <c r="E19" s="15"/>
      <c r="F19" s="15"/>
      <c r="G19" s="178" t="str">
        <f>CONCATENATE("(",'Enter and Change Data Here'!$G$13,")")</f>
        <v>($US)</v>
      </c>
      <c r="H19" s="179"/>
      <c r="I19" s="182">
        <f>-'Enter and Change Data Here'!O30</f>
        <v>-56141949.152542375</v>
      </c>
      <c r="J19" s="183"/>
      <c r="K19" s="184">
        <f>K5+K13</f>
        <v>7406762.246831825</v>
      </c>
      <c r="L19" s="183"/>
      <c r="M19" s="184">
        <f>M5+M13</f>
        <v>9244134.726831822</v>
      </c>
      <c r="N19" s="183"/>
      <c r="O19" s="184">
        <f>O5+O13</f>
        <v>10230318.630831826</v>
      </c>
      <c r="P19" s="183"/>
      <c r="Q19" s="184">
        <f>Q5+Q13</f>
        <v>10339235.290671825</v>
      </c>
      <c r="R19" s="183"/>
      <c r="S19" s="184">
        <f>S5+S13</f>
        <v>10448557.366230225</v>
      </c>
      <c r="T19" s="183"/>
      <c r="U19" s="184">
        <f>U5+U13</f>
        <v>10558275.236646608</v>
      </c>
      <c r="V19" s="183"/>
      <c r="W19" s="184">
        <f>W5+W13</f>
        <v>10668378.911351608</v>
      </c>
      <c r="X19" s="183"/>
      <c r="Y19" s="184">
        <f>Y5+Y13</f>
        <v>10778858.020899786</v>
      </c>
      <c r="Z19" s="183"/>
      <c r="AA19" s="184">
        <f>AA5+AA13</f>
        <v>7881582.057835225</v>
      </c>
      <c r="AB19" s="183"/>
      <c r="AC19" s="184">
        <f>AC5+AC13</f>
        <v>5964969.8218962215</v>
      </c>
      <c r="AD19" s="179"/>
      <c r="AE19" s="184">
        <f>AE5+AE13</f>
        <v>5974692.113737358</v>
      </c>
      <c r="AF19" s="183"/>
      <c r="AG19" s="184">
        <f>AG5+AG13</f>
        <v>5979464.278131995</v>
      </c>
      <c r="AH19" s="183"/>
      <c r="AI19" s="184">
        <f>AI5+AI13</f>
        <v>5978815.539695948</v>
      </c>
      <c r="AJ19" s="183"/>
      <c r="AK19" s="184">
        <f>AK5+AK13</f>
        <v>5972233.160369769</v>
      </c>
      <c r="AL19" s="183"/>
      <c r="AM19" s="184">
        <f>AM5+AM13</f>
        <v>5959158.680044046</v>
      </c>
      <c r="AN19" s="183"/>
      <c r="AO19" s="184">
        <f>AO5+AO13</f>
        <v>5938983.819277525</v>
      </c>
      <c r="AP19" s="183"/>
      <c r="AQ19" s="184">
        <f>AQ5+AQ13</f>
        <v>5911046.013706084</v>
      </c>
      <c r="AR19" s="183"/>
      <c r="AS19" s="184">
        <f>AS5+AS13</f>
        <v>5874623.547004528</v>
      </c>
      <c r="AT19" s="183"/>
      <c r="AU19" s="184">
        <f>AU5+AU13</f>
        <v>5828930.246281078</v>
      </c>
      <c r="AV19" s="183"/>
      <c r="AW19" s="184">
        <f>AW5+AW13</f>
        <v>5773109.70053372</v>
      </c>
      <c r="AX19" s="179"/>
      <c r="AY19" s="184">
        <f>AY5+AY13</f>
        <v>9806330.712422641</v>
      </c>
      <c r="AZ19" s="183"/>
      <c r="BA19" s="184">
        <f>BA5+BA13</f>
        <v>9874977.080687758</v>
      </c>
      <c r="BB19" s="183"/>
      <c r="BC19" s="184">
        <f>BC5+BC13</f>
        <v>9943723.973858347</v>
      </c>
      <c r="BD19" s="183"/>
      <c r="BE19" s="184">
        <f>BE5+BE13</f>
        <v>10012560.678407911</v>
      </c>
      <c r="BF19" s="183"/>
      <c r="BG19" s="184">
        <f>BG5+BG13</f>
        <v>10081476.139299197</v>
      </c>
      <c r="BH19" s="183"/>
      <c r="BI19" s="184">
        <f>BI5+BI13</f>
        <v>0</v>
      </c>
      <c r="BJ19" s="183"/>
      <c r="BK19" s="184">
        <f>BK5+BK13</f>
        <v>0</v>
      </c>
      <c r="BL19" s="183"/>
      <c r="BM19" s="184">
        <f>BM5+BM13</f>
        <v>0</v>
      </c>
      <c r="BN19" s="183"/>
      <c r="BO19" s="184">
        <f>BO5+BO13</f>
        <v>0</v>
      </c>
      <c r="BP19" s="183"/>
      <c r="BQ19" s="184">
        <f>BQ5+BQ13</f>
        <v>0</v>
      </c>
      <c r="BR19" s="179"/>
      <c r="BS19" s="184">
        <f>BS5+BS13</f>
        <v>0</v>
      </c>
      <c r="BT19" s="183"/>
      <c r="BU19" s="184">
        <f>BU5+BU13</f>
        <v>0</v>
      </c>
      <c r="BV19" s="183"/>
      <c r="BW19" s="184">
        <f>BW5+BW13</f>
        <v>0</v>
      </c>
      <c r="BX19" s="183"/>
      <c r="BY19" s="184">
        <f>BY5+BY13</f>
        <v>0</v>
      </c>
      <c r="BZ19" s="183"/>
      <c r="CA19" s="184">
        <f>CA5+CA13</f>
        <v>0</v>
      </c>
      <c r="CB19" s="183"/>
      <c r="CC19" s="184">
        <f>CC5+CC13</f>
        <v>0</v>
      </c>
      <c r="CD19" s="183"/>
      <c r="CE19" s="184">
        <f>CE5+CE13</f>
        <v>0</v>
      </c>
      <c r="CF19" s="183"/>
      <c r="CG19" s="184">
        <f>CG5+CG13</f>
        <v>0</v>
      </c>
      <c r="CH19" s="183"/>
      <c r="CI19" s="184">
        <f>CI5+CI13</f>
        <v>0</v>
      </c>
      <c r="CJ19" s="183"/>
      <c r="CK19" s="184">
        <f>CK5+CK13</f>
        <v>0</v>
      </c>
      <c r="CL19" s="179"/>
      <c r="CM19" s="184">
        <f>CM5+CM13</f>
        <v>0</v>
      </c>
      <c r="CN19" s="183"/>
      <c r="CO19" s="184">
        <f>CO5+CO13</f>
        <v>0</v>
      </c>
      <c r="CP19" s="183"/>
      <c r="CQ19" s="184">
        <f>CQ5+CQ13</f>
        <v>0</v>
      </c>
      <c r="CR19" s="183"/>
      <c r="CS19" s="184">
        <f>CS5+CS13</f>
        <v>0</v>
      </c>
      <c r="CT19" s="183"/>
      <c r="CU19" s="184">
        <f>CU5+CU13</f>
        <v>0</v>
      </c>
      <c r="CV19" s="183"/>
      <c r="CW19" s="184">
        <f>CW5+CW13</f>
        <v>0</v>
      </c>
      <c r="CX19" s="183"/>
      <c r="CY19" s="184">
        <f>CY5+CY13</f>
        <v>0</v>
      </c>
      <c r="CZ19" s="183"/>
      <c r="DA19" s="184">
        <f>DA5+DA13</f>
        <v>0</v>
      </c>
      <c r="DB19" s="183"/>
      <c r="DC19" s="184">
        <f>DC5+DC13</f>
        <v>0</v>
      </c>
      <c r="DD19" s="183"/>
      <c r="DE19" s="184">
        <f>DE5+DE13</f>
        <v>0</v>
      </c>
      <c r="DF19" s="198"/>
      <c r="DG19" s="217">
        <f>IF(I19&gt;=0,"Not Applicable",IRR(I19:DE19,0.15))</f>
        <v>0.15108617343576353</v>
      </c>
      <c r="DH19" s="200"/>
    </row>
    <row r="20" spans="2:112" s="13" customFormat="1" ht="12.75">
      <c r="B20" s="170"/>
      <c r="C20" s="8" t="s">
        <v>187</v>
      </c>
      <c r="D20" s="8"/>
      <c r="E20" s="8"/>
      <c r="F20" s="8"/>
      <c r="G20" s="150" t="str">
        <f>CONCATENATE("(",'Enter and Change Data Here'!$G$13,")")</f>
        <v>($US)</v>
      </c>
      <c r="H20" s="171"/>
      <c r="I20" s="172">
        <f>-'Enter and Change Data Here'!O30</f>
        <v>-56141949.152542375</v>
      </c>
      <c r="J20" s="152">
        <f>I11</f>
        <v>0</v>
      </c>
      <c r="K20" s="6">
        <f>K19</f>
        <v>7406762.246831825</v>
      </c>
      <c r="L20" s="8"/>
      <c r="M20" s="6">
        <f>M19</f>
        <v>9244134.726831822</v>
      </c>
      <c r="N20" s="8"/>
      <c r="O20" s="6">
        <f>O19</f>
        <v>10230318.630831826</v>
      </c>
      <c r="P20" s="8"/>
      <c r="Q20" s="6">
        <f>Q19</f>
        <v>10339235.290671825</v>
      </c>
      <c r="R20" s="8"/>
      <c r="S20" s="6">
        <f>S19</f>
        <v>10448557.366230225</v>
      </c>
      <c r="T20" s="8"/>
      <c r="U20" s="6">
        <f>U19</f>
        <v>10558275.236646608</v>
      </c>
      <c r="V20" s="8"/>
      <c r="W20" s="6">
        <f>W19</f>
        <v>10668378.911351608</v>
      </c>
      <c r="X20" s="8"/>
      <c r="Y20" s="6">
        <f>Y19</f>
        <v>10778858.020899786</v>
      </c>
      <c r="Z20" s="8"/>
      <c r="AA20" s="6">
        <f>AA19</f>
        <v>7881582.057835225</v>
      </c>
      <c r="AB20" s="8"/>
      <c r="AC20" s="6">
        <f>AC19</f>
        <v>5964969.8218962215</v>
      </c>
      <c r="AD20" s="171"/>
      <c r="AE20" s="6">
        <f>AE19</f>
        <v>5974692.113737358</v>
      </c>
      <c r="AF20" s="8"/>
      <c r="AG20" s="6">
        <f>AG19</f>
        <v>5979464.278131995</v>
      </c>
      <c r="AH20" s="8"/>
      <c r="AI20" s="6">
        <f>AI19</f>
        <v>5978815.539695948</v>
      </c>
      <c r="AJ20" s="8"/>
      <c r="AK20" s="6">
        <f>AK19</f>
        <v>5972233.160369769</v>
      </c>
      <c r="AL20" s="8"/>
      <c r="AM20" s="6">
        <f>AM19</f>
        <v>5959158.680044046</v>
      </c>
      <c r="AN20" s="8"/>
      <c r="AO20" s="6">
        <f>AO19</f>
        <v>5938983.819277525</v>
      </c>
      <c r="AP20" s="8"/>
      <c r="AQ20" s="6">
        <f>AQ19</f>
        <v>5911046.013706084</v>
      </c>
      <c r="AR20" s="8"/>
      <c r="AS20" s="6">
        <f>AS19</f>
        <v>5874623.547004528</v>
      </c>
      <c r="AT20" s="8"/>
      <c r="AU20" s="6">
        <f>AU19</f>
        <v>5828930.246281078</v>
      </c>
      <c r="AV20" s="8"/>
      <c r="AW20" s="6">
        <f>AW19</f>
        <v>5773109.70053372</v>
      </c>
      <c r="AX20" s="171"/>
      <c r="AY20" s="6">
        <f>AY19</f>
        <v>9806330.712422641</v>
      </c>
      <c r="AZ20" s="8"/>
      <c r="BA20" s="6">
        <f>BA19</f>
        <v>9874977.080687758</v>
      </c>
      <c r="BB20" s="8"/>
      <c r="BC20" s="6">
        <f>BC19</f>
        <v>9943723.973858347</v>
      </c>
      <c r="BD20" s="8"/>
      <c r="BE20" s="6">
        <f>BE19</f>
        <v>10012560.678407911</v>
      </c>
      <c r="BF20" s="8"/>
      <c r="BG20" s="6">
        <f>BG19</f>
        <v>10081476.139299197</v>
      </c>
      <c r="BH20" s="8"/>
      <c r="BI20" s="6">
        <f>BI19</f>
        <v>0</v>
      </c>
      <c r="BJ20" s="8"/>
      <c r="BK20" s="6">
        <f>BK19</f>
        <v>0</v>
      </c>
      <c r="BL20" s="8"/>
      <c r="BM20" s="6">
        <f>BM19</f>
        <v>0</v>
      </c>
      <c r="BN20" s="8"/>
      <c r="BO20" s="6">
        <f>BO19</f>
        <v>0</v>
      </c>
      <c r="BP20" s="8"/>
      <c r="BQ20" s="6">
        <f>BQ19</f>
        <v>0</v>
      </c>
      <c r="BR20" s="171"/>
      <c r="BS20" s="6">
        <f>BS19</f>
        <v>0</v>
      </c>
      <c r="BT20" s="8"/>
      <c r="BU20" s="6">
        <f>BU19</f>
        <v>0</v>
      </c>
      <c r="BV20" s="8"/>
      <c r="BW20" s="6">
        <f>BW19</f>
        <v>0</v>
      </c>
      <c r="BX20" s="8"/>
      <c r="BY20" s="6">
        <f>BY19</f>
        <v>0</v>
      </c>
      <c r="BZ20" s="8"/>
      <c r="CA20" s="6">
        <f>CA19</f>
        <v>0</v>
      </c>
      <c r="CB20" s="8"/>
      <c r="CC20" s="6">
        <f>CC19</f>
        <v>0</v>
      </c>
      <c r="CD20" s="8"/>
      <c r="CE20" s="6">
        <f>CE19</f>
        <v>0</v>
      </c>
      <c r="CF20" s="8"/>
      <c r="CG20" s="6">
        <f>CG19</f>
        <v>0</v>
      </c>
      <c r="CH20" s="8"/>
      <c r="CI20" s="6">
        <f>CI19</f>
        <v>0</v>
      </c>
      <c r="CJ20" s="8"/>
      <c r="CK20" s="6">
        <f>CK19</f>
        <v>0</v>
      </c>
      <c r="CL20" s="171"/>
      <c r="CM20" s="6">
        <f>CM19</f>
        <v>0</v>
      </c>
      <c r="CN20" s="8"/>
      <c r="CO20" s="6">
        <f>CO19</f>
        <v>0</v>
      </c>
      <c r="CP20" s="8"/>
      <c r="CQ20" s="6">
        <f>CQ19</f>
        <v>0</v>
      </c>
      <c r="CR20" s="8"/>
      <c r="CS20" s="6">
        <f>CS19</f>
        <v>0</v>
      </c>
      <c r="CT20" s="8"/>
      <c r="CU20" s="6">
        <f>CU19</f>
        <v>0</v>
      </c>
      <c r="CV20" s="8"/>
      <c r="CW20" s="6">
        <f>CW19</f>
        <v>0</v>
      </c>
      <c r="CX20" s="8"/>
      <c r="CY20" s="6">
        <f>CY19</f>
        <v>0</v>
      </c>
      <c r="CZ20" s="8"/>
      <c r="DA20" s="6">
        <f>DA19</f>
        <v>0</v>
      </c>
      <c r="DB20" s="8"/>
      <c r="DC20" s="6">
        <f>DC19</f>
        <v>0</v>
      </c>
      <c r="DD20" s="8"/>
      <c r="DE20" s="6">
        <f>DE19</f>
        <v>0</v>
      </c>
      <c r="DF20" s="201"/>
      <c r="DG20" s="218">
        <f>IF(I20&gt;=0,"Not Applicable",IRR(I20:DE20,0.15))</f>
        <v>0.13004837466325952</v>
      </c>
      <c r="DH20" s="201"/>
    </row>
    <row r="21" spans="2:112" ht="12.75">
      <c r="B21" s="3"/>
      <c r="C21" s="149" t="str">
        <f>CONCATENATE("Discounted CF @ ",'Enter and Change Data Here'!$O$130,"%")</f>
        <v>Discounted CF @ 7%</v>
      </c>
      <c r="D21" s="2"/>
      <c r="E21" s="2"/>
      <c r="F21" s="2"/>
      <c r="G21" s="150" t="str">
        <f>CONCATENATE("(",'Enter and Change Data Here'!$G$13,")")</f>
        <v>($US)</v>
      </c>
      <c r="H21" s="32"/>
      <c r="I21" s="6">
        <f>I19/(1+'Enter and Change Data Here'!$O$130/100)^'Cash Flow'!I2</f>
        <v>-56141949.152542375</v>
      </c>
      <c r="J21" s="2"/>
      <c r="K21" s="6">
        <f>K19/(1+'Enter and Change Data Here'!$O$130/100)^'Cash Flow'!K$2</f>
        <v>6922207.707319463</v>
      </c>
      <c r="L21" s="2"/>
      <c r="M21" s="6">
        <f>M19/(1+'Enter and Change Data Here'!$O$130/100)^'Cash Flow'!M2</f>
        <v>8074185.279790219</v>
      </c>
      <c r="N21" s="2"/>
      <c r="O21" s="6">
        <f>O19/(1+'Enter and Change Data Here'!$O$130/100)^'Cash Flow'!O2</f>
        <v>8350987.378264947</v>
      </c>
      <c r="P21" s="2"/>
      <c r="Q21" s="6">
        <f>Q19/(1+'Enter and Change Data Here'!$O$130/100)^'Cash Flow'!Q2</f>
        <v>7887753.099486338</v>
      </c>
      <c r="R21" s="2"/>
      <c r="S21" s="6">
        <f>S19/(1+'Enter and Change Data Here'!$O$130/100)^'Cash Flow'!S2</f>
        <v>7449676.997664428</v>
      </c>
      <c r="T21" s="2"/>
      <c r="U21" s="6">
        <f>U19/(1+'Enter and Change Data Here'!$O$130/100)^'Cash Flow'!U2</f>
        <v>7035424.600853915</v>
      </c>
      <c r="V21" s="2"/>
      <c r="W21" s="6">
        <f>W19/(1+'Enter and Change Data Here'!$O$130/100)^'Cash Flow'!W2</f>
        <v>6643730.213371229</v>
      </c>
      <c r="X21" s="2"/>
      <c r="Y21" s="6">
        <f>Y19/(1+'Enter and Change Data Here'!$O$130/100)^'Cash Flow'!Y2</f>
        <v>6273393.504977566</v>
      </c>
      <c r="Z21" s="2"/>
      <c r="AA21" s="6">
        <f>AA19/(1+'Enter and Change Data Here'!$O$130/100)^'Cash Flow'!AA2</f>
        <v>4287058.426202385</v>
      </c>
      <c r="AB21" s="2"/>
      <c r="AC21" s="6">
        <f>AC19/(1+'Enter and Change Data Here'!$O$130/100)^'Cash Flow'!AC2</f>
        <v>3032288.186565898</v>
      </c>
      <c r="AD21" s="32"/>
      <c r="AE21" s="6">
        <f>AE19/(1+'Enter and Change Data Here'!$O$130/100)^'Cash Flow'!AE2</f>
        <v>2838533.183870342</v>
      </c>
      <c r="AF21" s="2"/>
      <c r="AG21" s="6">
        <f>AG19/(1+'Enter and Change Data Here'!$O$130/100)^'Cash Flow'!AG2</f>
        <v>2654953.649343376</v>
      </c>
      <c r="AH21" s="2"/>
      <c r="AI21" s="6">
        <f>AI19/(1+'Enter and Change Data Here'!$O$130/100)^'Cash Flow'!AI2</f>
        <v>2480995.8894573385</v>
      </c>
      <c r="AJ21" s="2"/>
      <c r="AK21" s="6">
        <f>AK19/(1+'Enter and Change Data Here'!$O$130/100)^'Cash Flow'!AK2</f>
        <v>2316134.9869667827</v>
      </c>
      <c r="AL21" s="2"/>
      <c r="AM21" s="6">
        <f>AM19/(1+'Enter and Change Data Here'!$O$130/100)^'Cash Flow'!AM2</f>
        <v>2159873.3439991823</v>
      </c>
      <c r="AN21" s="2"/>
      <c r="AO21" s="6">
        <f>AO19/(1+'Enter and Change Data Here'!$O$130/100)^'Cash Flow'!AO2</f>
        <v>2011739.2953434752</v>
      </c>
      <c r="AP21" s="2"/>
      <c r="AQ21" s="6">
        <f>AQ19/(1+'Enter and Change Data Here'!$O$130/100)^'Cash Flow'!AQ2</f>
        <v>1871285.7887943117</v>
      </c>
      <c r="AR21" s="2"/>
      <c r="AS21" s="6">
        <f>AS19/(1+'Enter and Change Data Here'!$O$130/100)^'Cash Flow'!AS2</f>
        <v>1738089.1295318387</v>
      </c>
      <c r="AT21" s="2"/>
      <c r="AU21" s="6">
        <f>AU19/(1+'Enter and Change Data Here'!$O$130/100)^'Cash Flow'!AU2</f>
        <v>1611747.785635643</v>
      </c>
      <c r="AV21" s="2"/>
      <c r="AW21" s="6">
        <f>AW19/(1+'Enter and Change Data Here'!$O$130/100)^'Cash Flow'!AW2</f>
        <v>1491881.251946996</v>
      </c>
      <c r="AX21" s="32"/>
      <c r="AY21" s="6">
        <f>AY19/(1+'Enter and Change Data Here'!$O$130/100)^'Cash Flow'!AY2</f>
        <v>2368357.199969414</v>
      </c>
      <c r="AZ21" s="2"/>
      <c r="BA21" s="6">
        <f>BA19/(1+'Enter and Change Data Here'!$O$130/100)^'Cash Flow'!BA2</f>
        <v>2228912.3329558377</v>
      </c>
      <c r="BB21" s="2"/>
      <c r="BC21" s="6">
        <f>BC19/(1+'Enter and Change Data Here'!$O$130/100)^'Cash Flow'!BC2</f>
        <v>2097597.581130486</v>
      </c>
      <c r="BD21" s="2"/>
      <c r="BE21" s="6">
        <f>BE19/(1+'Enter and Change Data Here'!$O$130/100)^'Cash Flow'!BE2</f>
        <v>1973942.4947803472</v>
      </c>
      <c r="BF21" s="2"/>
      <c r="BG21" s="6">
        <f>BG19/(1+'Enter and Change Data Here'!$O$130/100)^'Cash Flow'!BG2</f>
        <v>1857503.6868759603</v>
      </c>
      <c r="BH21" s="2"/>
      <c r="BI21" s="6">
        <f>BI19/(1+'Enter and Change Data Here'!$O$130/100)^'Cash Flow'!BI2</f>
        <v>0</v>
      </c>
      <c r="BJ21" s="2"/>
      <c r="BK21" s="6">
        <f>BK19/(1+'Enter and Change Data Here'!$O$130/100)^'Cash Flow'!BK2</f>
        <v>0</v>
      </c>
      <c r="BL21" s="2"/>
      <c r="BM21" s="6">
        <f>BM19/(1+'Enter and Change Data Here'!$O$130/100)^'Cash Flow'!BM2</f>
        <v>0</v>
      </c>
      <c r="BN21" s="2"/>
      <c r="BO21" s="6">
        <f>BO19/(1+'Enter and Change Data Here'!$O$130/100)^'Cash Flow'!BO2</f>
        <v>0</v>
      </c>
      <c r="BP21" s="2"/>
      <c r="BQ21" s="6">
        <f>BQ19/(1+'Enter and Change Data Here'!$O$130/100)^'Cash Flow'!BQ2</f>
        <v>0</v>
      </c>
      <c r="BR21" s="32"/>
      <c r="BS21" s="6">
        <f>BS19/(1+'Enter and Change Data Here'!$O$130/100)^'Cash Flow'!BS2</f>
        <v>0</v>
      </c>
      <c r="BT21" s="2"/>
      <c r="BU21" s="6">
        <f>BU19/(1+'Enter and Change Data Here'!$O$130/100)^'Cash Flow'!BU2</f>
        <v>0</v>
      </c>
      <c r="BV21" s="2"/>
      <c r="BW21" s="6">
        <f>BW19/(1+'Enter and Change Data Here'!$O$130/100)^'Cash Flow'!BW2</f>
        <v>0</v>
      </c>
      <c r="BX21" s="2"/>
      <c r="BY21" s="6">
        <f>BY19/(1+'Enter and Change Data Here'!$O$130/100)^'Cash Flow'!BY2</f>
        <v>0</v>
      </c>
      <c r="BZ21" s="2"/>
      <c r="CA21" s="6">
        <f>CA19/(1+'Enter and Change Data Here'!$O$130/100)^'Cash Flow'!CA2</f>
        <v>0</v>
      </c>
      <c r="CB21" s="2"/>
      <c r="CC21" s="6">
        <f>CC19/(1+'Enter and Change Data Here'!$O$130/100)^'Cash Flow'!CC2</f>
        <v>0</v>
      </c>
      <c r="CD21" s="2"/>
      <c r="CE21" s="6">
        <f>CE19/(1+'Enter and Change Data Here'!$O$130/100)^'Cash Flow'!CE2</f>
        <v>0</v>
      </c>
      <c r="CF21" s="2"/>
      <c r="CG21" s="6">
        <f>CG19/(1+'Enter and Change Data Here'!$O$130/100)^'Cash Flow'!CG2</f>
        <v>0</v>
      </c>
      <c r="CH21" s="2"/>
      <c r="CI21" s="6">
        <f>CI19/(1+'Enter and Change Data Here'!$O$130/100)^'Cash Flow'!CI2</f>
        <v>0</v>
      </c>
      <c r="CJ21" s="2"/>
      <c r="CK21" s="6">
        <f>CK19/(1+'Enter and Change Data Here'!$O$130/100)^'Cash Flow'!CK2</f>
        <v>0</v>
      </c>
      <c r="CL21" s="32"/>
      <c r="CM21" s="6">
        <f>CM19/(1+'Enter and Change Data Here'!$O$130/100)^'Cash Flow'!CM2</f>
        <v>0</v>
      </c>
      <c r="CN21" s="2"/>
      <c r="CO21" s="6">
        <f>CO19/(1+'Enter and Change Data Here'!$O$130/100)^'Cash Flow'!CO2</f>
        <v>0</v>
      </c>
      <c r="CP21" s="2"/>
      <c r="CQ21" s="6">
        <f>CQ19/(1+'Enter and Change Data Here'!$O$130/100)^'Cash Flow'!CQ2</f>
        <v>0</v>
      </c>
      <c r="CR21" s="2"/>
      <c r="CS21" s="6">
        <f>CS19/(1+'Enter and Change Data Here'!$O$130/100)^'Cash Flow'!CS2</f>
        <v>0</v>
      </c>
      <c r="CT21" s="2"/>
      <c r="CU21" s="6">
        <f>CU19/(1+'Enter and Change Data Here'!$O$130/100)^'Cash Flow'!CU2</f>
        <v>0</v>
      </c>
      <c r="CV21" s="2"/>
      <c r="CW21" s="6">
        <f>CW19/(1+'Enter and Change Data Here'!$O$130/100)^'Cash Flow'!CW2</f>
        <v>0</v>
      </c>
      <c r="CX21" s="2"/>
      <c r="CY21" s="6">
        <f>CY19/(1+'Enter and Change Data Here'!$O$130/100)^'Cash Flow'!CY2</f>
        <v>0</v>
      </c>
      <c r="CZ21" s="2"/>
      <c r="DA21" s="6">
        <f>DA19/(1+'Enter and Change Data Here'!$O$130/100)^'Cash Flow'!DA2</f>
        <v>0</v>
      </c>
      <c r="DB21" s="2"/>
      <c r="DC21" s="6">
        <f>DC19/(1+'Enter and Change Data Here'!$O$130/100)^'Cash Flow'!DC2</f>
        <v>0</v>
      </c>
      <c r="DD21" s="2"/>
      <c r="DE21" s="6">
        <f>DE19/(1+'Enter and Change Data Here'!$O$130/100)^'Cash Flow'!DE2</f>
        <v>0</v>
      </c>
      <c r="DF21" s="198"/>
      <c r="DG21" s="215">
        <f>SUM(I21:DE21)</f>
        <v>41516303.84255535</v>
      </c>
      <c r="DH21" s="198"/>
    </row>
    <row r="22" spans="2:112" ht="12.75">
      <c r="B22" s="3"/>
      <c r="C22" s="149" t="str">
        <f>CONCATENATE("IPO Discounted CF @ ",'Enter and Change Data Here'!$O$130,"%*")</f>
        <v>IPO Discounted CF @ 7%*</v>
      </c>
      <c r="D22" s="2"/>
      <c r="E22" s="2"/>
      <c r="F22" s="2"/>
      <c r="G22" s="150" t="str">
        <f>CONCATENATE("(",'Enter and Change Data Here'!$G$13,")")</f>
        <v>($US)</v>
      </c>
      <c r="H22" s="32"/>
      <c r="I22" s="6">
        <f>I20</f>
        <v>-56141949.152542375</v>
      </c>
      <c r="J22" s="152">
        <f>J20/(1+'Enter and Change Data Here'!$O$130/100)</f>
        <v>0</v>
      </c>
      <c r="K22" s="6">
        <f>K20/(1+'Enter and Change Data Here'!$O$130/100)^('Cash Flow'!K$2+1)</f>
        <v>6469352.997494825</v>
      </c>
      <c r="L22" s="2"/>
      <c r="M22" s="6">
        <f>M20/(1+'Enter and Change Data Here'!$O$130/100)^('Cash Flow'!M$2+1)</f>
        <v>7545967.551205811</v>
      </c>
      <c r="N22" s="2"/>
      <c r="O22" s="6">
        <f>O20/(1+'Enter and Change Data Here'!$O$130/100)^('Cash Flow'!O$2+1)</f>
        <v>7804661.101182194</v>
      </c>
      <c r="P22" s="2"/>
      <c r="Q22" s="6">
        <f>Q20/(1+'Enter and Change Data Here'!$O$130/100)^('Cash Flow'!Q$2+1)</f>
        <v>7371731.86867882</v>
      </c>
      <c r="R22" s="2"/>
      <c r="S22" s="6">
        <f>S20/(1+'Enter and Change Data Here'!$O$130/100)^('Cash Flow'!S$2+1)</f>
        <v>6962314.951088252</v>
      </c>
      <c r="T22" s="2"/>
      <c r="U22" s="6">
        <f>U20/(1+'Enter and Change Data Here'!$O$130/100)^('Cash Flow'!U$2+1)</f>
        <v>6575163.178368145</v>
      </c>
      <c r="V22" s="2"/>
      <c r="W22" s="6">
        <f>W20/(1+'Enter and Change Data Here'!$O$130/100)^('Cash Flow'!W$2+1)</f>
        <v>6209093.657356289</v>
      </c>
      <c r="X22" s="2"/>
      <c r="Y22" s="6">
        <f>Y20/(1+'Enter and Change Data Here'!$O$130/100)^('Cash Flow'!Y$2+1)</f>
        <v>5862984.584091183</v>
      </c>
      <c r="Z22" s="2"/>
      <c r="AA22" s="6">
        <f>AA20/(1+'Enter and Change Data Here'!$O$130/100)^('Cash Flow'!AA$2+1)</f>
        <v>4006596.6600022293</v>
      </c>
      <c r="AB22" s="2"/>
      <c r="AC22" s="6">
        <f>AC20/(1+'Enter and Change Data Here'!$O$130/100)^('Cash Flow'!AC$2+1)</f>
        <v>2833914.1930522406</v>
      </c>
      <c r="AD22" s="32"/>
      <c r="AE22" s="6">
        <f>AE20/(1+'Enter and Change Data Here'!$O$130/100)^('Cash Flow'!AE$2+1)</f>
        <v>2652834.7512806943</v>
      </c>
      <c r="AF22" s="2"/>
      <c r="AG22" s="6">
        <f>AG20/(1+'Enter and Change Data Here'!$O$130/100)^('Cash Flow'!AG$2+1)</f>
        <v>2481265.0928442767</v>
      </c>
      <c r="AH22" s="2"/>
      <c r="AI22" s="6">
        <f>AI20/(1+'Enter and Change Data Here'!$O$130/100)^('Cash Flow'!AI$2+1)</f>
        <v>2318687.747156391</v>
      </c>
      <c r="AJ22" s="2"/>
      <c r="AK22" s="6">
        <f>AK20/(1+'Enter and Change Data Here'!$O$130/100)^('Cash Flow'!AK$2+1)</f>
        <v>2164612.137352133</v>
      </c>
      <c r="AL22" s="2"/>
      <c r="AM22" s="6">
        <f>AM20/(1+'Enter and Change Data Here'!$O$130/100)^('Cash Flow'!AM$2+1)</f>
        <v>2018573.218690825</v>
      </c>
      <c r="AN22" s="2"/>
      <c r="AO22" s="6">
        <f>AO20/(1+'Enter and Change Data Here'!$O$130/100)^('Cash Flow'!AO$2+1)</f>
        <v>1880130.1825639955</v>
      </c>
      <c r="AP22" s="2"/>
      <c r="AQ22" s="6">
        <f>AQ20/(1+'Enter and Change Data Here'!$O$130/100)^('Cash Flow'!AQ$2+1)</f>
        <v>1748865.223172254</v>
      </c>
      <c r="AR22" s="2"/>
      <c r="AS22" s="6">
        <f>AS20/(1+'Enter and Change Data Here'!$O$130/100)^('Cash Flow'!AS$2+1)</f>
        <v>1624382.3640484472</v>
      </c>
      <c r="AT22" s="2"/>
      <c r="AU22" s="6">
        <f>AU20/(1+'Enter and Change Data Here'!$O$130/100)^('Cash Flow'!AU$2+1)</f>
        <v>1506306.3417155542</v>
      </c>
      <c r="AV22" s="2"/>
      <c r="AW22" s="6">
        <f>AW20/(1+'Enter and Change Data Here'!$O$130/100)^('Cash Flow'!AW$2+1)</f>
        <v>1394281.543875697</v>
      </c>
      <c r="AX22" s="32"/>
      <c r="AY22" s="6">
        <f>AY20/(1+'Enter and Change Data Here'!$O$130/100)^('Cash Flow'!AY$2+1)</f>
        <v>2213417.943896649</v>
      </c>
      <c r="AZ22" s="2"/>
      <c r="BA22" s="6">
        <f>BA20/(1+'Enter and Change Data Here'!$O$130/100)^('Cash Flow'!BA$2+1)</f>
        <v>2083095.6382764836</v>
      </c>
      <c r="BB22" s="2"/>
      <c r="BC22" s="6">
        <f>BC20/(1+'Enter and Change Data Here'!$O$130/100)^('Cash Flow'!BC$2+1)</f>
        <v>1960371.5711499867</v>
      </c>
      <c r="BD22" s="2"/>
      <c r="BE22" s="6">
        <f>BE20/(1+'Enter and Change Data Here'!$O$130/100)^('Cash Flow'!BE$2+1)</f>
        <v>1844806.0698881748</v>
      </c>
      <c r="BF22" s="2"/>
      <c r="BG22" s="6">
        <f>BG20/(1+'Enter and Change Data Here'!$O$130/100)^('Cash Flow'!BG$2+1)</f>
        <v>1735984.7540896826</v>
      </c>
      <c r="BH22" s="2"/>
      <c r="BI22" s="6">
        <f>BI20/(1+'Enter and Change Data Here'!$O$130/100)^('Cash Flow'!BI$2+1)</f>
        <v>0</v>
      </c>
      <c r="BJ22" s="2"/>
      <c r="BK22" s="6">
        <f>BK20/(1+'Enter and Change Data Here'!$O$130/100)^('Cash Flow'!BK$2+1)</f>
        <v>0</v>
      </c>
      <c r="BL22" s="2"/>
      <c r="BM22" s="6">
        <f>BM20/(1+'Enter and Change Data Here'!$O$130/100)^('Cash Flow'!BM$2+1)</f>
        <v>0</v>
      </c>
      <c r="BN22" s="2"/>
      <c r="BO22" s="6">
        <f>BO20/(1+'Enter and Change Data Here'!$O$130/100)^('Cash Flow'!BO$2+1)</f>
        <v>0</v>
      </c>
      <c r="BP22" s="2"/>
      <c r="BQ22" s="6">
        <f>BQ20/(1+'Enter and Change Data Here'!$O$130/100)^('Cash Flow'!BQ$2+1)</f>
        <v>0</v>
      </c>
      <c r="BR22" s="32"/>
      <c r="BS22" s="6">
        <f>BS20/(1+'Enter and Change Data Here'!$O$130/100)^('Cash Flow'!BS$2+1)</f>
        <v>0</v>
      </c>
      <c r="BT22" s="2"/>
      <c r="BU22" s="6">
        <f>BU20/(1+'Enter and Change Data Here'!$O$130/100)^('Cash Flow'!BU$2+1)</f>
        <v>0</v>
      </c>
      <c r="BV22" s="2"/>
      <c r="BW22" s="6">
        <f>BW20/(1+'Enter and Change Data Here'!$O$130/100)^('Cash Flow'!BW$2+1)</f>
        <v>0</v>
      </c>
      <c r="BX22" s="2"/>
      <c r="BY22" s="6">
        <f>BY20/(1+'Enter and Change Data Here'!$O$130/100)^('Cash Flow'!BY$2+1)</f>
        <v>0</v>
      </c>
      <c r="BZ22" s="2"/>
      <c r="CA22" s="6">
        <f>CA20/(1+'Enter and Change Data Here'!$O$130/100)^('Cash Flow'!CA$2+1)</f>
        <v>0</v>
      </c>
      <c r="CB22" s="2"/>
      <c r="CC22" s="6">
        <f>CC20/(1+'Enter and Change Data Here'!$O$130/100)^('Cash Flow'!CC$2+1)</f>
        <v>0</v>
      </c>
      <c r="CD22" s="2"/>
      <c r="CE22" s="6">
        <f>CE20/(1+'Enter and Change Data Here'!$O$130/100)^('Cash Flow'!CE$2+1)</f>
        <v>0</v>
      </c>
      <c r="CF22" s="2"/>
      <c r="CG22" s="6">
        <f>CG20/(1+'Enter and Change Data Here'!$O$130/100)^('Cash Flow'!CG$2+1)</f>
        <v>0</v>
      </c>
      <c r="CH22" s="2"/>
      <c r="CI22" s="6">
        <f>CI20/(1+'Enter and Change Data Here'!$O$130/100)^('Cash Flow'!CI$2+1)</f>
        <v>0</v>
      </c>
      <c r="CJ22" s="2"/>
      <c r="CK22" s="6">
        <f>CK20/(1+'Enter and Change Data Here'!$O$130/100)^('Cash Flow'!CK$2+1)</f>
        <v>0</v>
      </c>
      <c r="CL22" s="32"/>
      <c r="CM22" s="6">
        <f>CM20/(1+'Enter and Change Data Here'!$O$130/100)^('Cash Flow'!CM$2+1)</f>
        <v>0</v>
      </c>
      <c r="CN22" s="2"/>
      <c r="CO22" s="6">
        <f>CO20/(1+'Enter and Change Data Here'!$O$130/100)^('Cash Flow'!CO$2+1)</f>
        <v>0</v>
      </c>
      <c r="CP22" s="2"/>
      <c r="CQ22" s="6">
        <f>CQ20/(1+'Enter and Change Data Here'!$O$130/100)^('Cash Flow'!CQ$2+1)</f>
        <v>0</v>
      </c>
      <c r="CR22" s="2"/>
      <c r="CS22" s="6">
        <f>CS20/(1+'Enter and Change Data Here'!$O$130/100)^('Cash Flow'!CS$2+1)</f>
        <v>0</v>
      </c>
      <c r="CT22" s="2"/>
      <c r="CU22" s="6">
        <f>CU20/(1+'Enter and Change Data Here'!$O$130/100)^('Cash Flow'!CU$2+1)</f>
        <v>0</v>
      </c>
      <c r="CV22" s="2"/>
      <c r="CW22" s="6">
        <f>CW20/(1+'Enter and Change Data Here'!$O$130/100)^('Cash Flow'!CW$2+1)</f>
        <v>0</v>
      </c>
      <c r="CX22" s="2"/>
      <c r="CY22" s="6">
        <f>CY20/(1+'Enter and Change Data Here'!$O$130/100)^('Cash Flow'!CY$2+1)</f>
        <v>0</v>
      </c>
      <c r="CZ22" s="2"/>
      <c r="DA22" s="6">
        <f>DA20/(1+'Enter and Change Data Here'!$O$130/100)^('Cash Flow'!DA$2+1)</f>
        <v>0</v>
      </c>
      <c r="DB22" s="2"/>
      <c r="DC22" s="6">
        <f>DC20/(1+'Enter and Change Data Here'!$O$130/100)^('Cash Flow'!DC$2+1)</f>
        <v>0</v>
      </c>
      <c r="DD22" s="2"/>
      <c r="DE22" s="6">
        <f>DE20/(1+'Enter and Change Data Here'!$O$130/100)^('Cash Flow'!DE$2+1)</f>
        <v>0</v>
      </c>
      <c r="DF22" s="198"/>
      <c r="DG22" s="215">
        <f>SUM(I22:DE22)</f>
        <v>35127446.16997886</v>
      </c>
      <c r="DH22" s="198"/>
    </row>
    <row r="23" spans="2:112" ht="12.75">
      <c r="B23" s="3"/>
      <c r="C23" s="2" t="s">
        <v>177</v>
      </c>
      <c r="D23" s="2"/>
      <c r="E23" s="2"/>
      <c r="F23" s="2"/>
      <c r="G23" s="150" t="str">
        <f>CONCATENATE("(",'Enter and Change Data Here'!$G$13,")")</f>
        <v>($US)</v>
      </c>
      <c r="H23" s="32"/>
      <c r="I23" s="6">
        <f>I21</f>
        <v>-56141949.152542375</v>
      </c>
      <c r="J23" s="2"/>
      <c r="K23" s="6">
        <f>IF(K2&lt;='Enter and Change Data Here'!$G$26,I23+K19,0)</f>
        <v>-48735186.90571055</v>
      </c>
      <c r="L23" s="2"/>
      <c r="M23" s="6">
        <f>IF(M2&lt;='Enter and Change Data Here'!$G$26,K23+M19,0)</f>
        <v>-39491052.178878725</v>
      </c>
      <c r="N23" s="2"/>
      <c r="O23" s="6">
        <f>IF(O2&lt;='Enter and Change Data Here'!$G$26,M23+O19,0)</f>
        <v>-29260733.548046898</v>
      </c>
      <c r="P23" s="2"/>
      <c r="Q23" s="6">
        <f>IF(Q2&lt;='Enter and Change Data Here'!$G$26,O23+Q19,0)</f>
        <v>-18921498.257375073</v>
      </c>
      <c r="R23" s="2"/>
      <c r="S23" s="6">
        <f>IF(S2&lt;='Enter and Change Data Here'!$G$26,Q23+S19,0)</f>
        <v>-8472940.891144847</v>
      </c>
      <c r="T23" s="2"/>
      <c r="U23" s="6">
        <f>IF(U2&lt;='Enter and Change Data Here'!$G$26,S23+U19,0)</f>
        <v>2085334.34550176</v>
      </c>
      <c r="V23" s="2"/>
      <c r="W23" s="6">
        <f>IF(W2&lt;='Enter and Change Data Here'!$G$26,U23+W19,0)</f>
        <v>12753713.256853368</v>
      </c>
      <c r="X23" s="2"/>
      <c r="Y23" s="6">
        <f>IF(Y2&lt;='Enter and Change Data Here'!$G$26,W23+Y19,0)</f>
        <v>23532571.277753152</v>
      </c>
      <c r="Z23" s="2"/>
      <c r="AA23" s="6">
        <f>IF(AA2&lt;='Enter and Change Data Here'!$G$26,Y23+AA19,0)</f>
        <v>31414153.335588377</v>
      </c>
      <c r="AB23" s="2"/>
      <c r="AC23" s="6">
        <f>IF(AC2&lt;='Enter and Change Data Here'!$G$26,AA23+AC19,0)</f>
        <v>37379123.1574846</v>
      </c>
      <c r="AD23" s="32"/>
      <c r="AE23" s="6">
        <f>IF(AE2&lt;='Enter and Change Data Here'!$G$26,AC23+AE19,0)</f>
        <v>43353815.27122196</v>
      </c>
      <c r="AF23" s="2"/>
      <c r="AG23" s="6">
        <f>IF(AG2&lt;='Enter and Change Data Here'!$G$26,AE23+AG19,0)</f>
        <v>49333279.54935396</v>
      </c>
      <c r="AH23" s="2"/>
      <c r="AI23" s="6">
        <f>IF(AI2&lt;='Enter and Change Data Here'!$G$26,AG23+AI19,0)</f>
        <v>55312095.089049906</v>
      </c>
      <c r="AJ23" s="2"/>
      <c r="AK23" s="6">
        <f>IF(AK2&lt;='Enter and Change Data Here'!$G$26,AI23+AK19,0)</f>
        <v>61284328.249419674</v>
      </c>
      <c r="AL23" s="2"/>
      <c r="AM23" s="6">
        <f>IF(AM2&lt;='Enter and Change Data Here'!$G$26,AK23+AM19,0)</f>
        <v>67243486.92946371</v>
      </c>
      <c r="AN23" s="2"/>
      <c r="AO23" s="6">
        <f>IF(AO2&lt;='Enter and Change Data Here'!$G$26,AM23+AO19,0)</f>
        <v>73182470.74874124</v>
      </c>
      <c r="AP23" s="2"/>
      <c r="AQ23" s="6">
        <f>IF(AQ2&lt;='Enter and Change Data Here'!$G$26,AO23+AQ19,0)</f>
        <v>79093516.76244733</v>
      </c>
      <c r="AR23" s="2"/>
      <c r="AS23" s="6">
        <f>IF(AS2&lt;='Enter and Change Data Here'!$G$26,AQ23+AS19,0)</f>
        <v>84968140.30945185</v>
      </c>
      <c r="AT23" s="2"/>
      <c r="AU23" s="6">
        <f>IF(AU2&lt;='Enter and Change Data Here'!$G$26,AS23+AU19,0)</f>
        <v>90797070.55573292</v>
      </c>
      <c r="AV23" s="2"/>
      <c r="AW23" s="6">
        <f>IF(AW2&lt;='Enter and Change Data Here'!$G$26,AU23+AW19,0)</f>
        <v>96570180.25626664</v>
      </c>
      <c r="AX23" s="32"/>
      <c r="AY23" s="6">
        <f>IF(AY2&lt;='Enter and Change Data Here'!$G$26,AW23+AY19,0)</f>
        <v>106376510.96868928</v>
      </c>
      <c r="AZ23" s="2"/>
      <c r="BA23" s="6">
        <f>IF(BA2&lt;='Enter and Change Data Here'!$G$26,AY23+BA19,0)</f>
        <v>116251488.04937704</v>
      </c>
      <c r="BB23" s="2"/>
      <c r="BC23" s="6">
        <f>IF(BC2&lt;='Enter and Change Data Here'!$G$26,BA23+BC19,0)</f>
        <v>126195212.02323538</v>
      </c>
      <c r="BD23" s="2"/>
      <c r="BE23" s="6">
        <f>IF(BE2&lt;='Enter and Change Data Here'!$G$26,BC23+BE19,0)</f>
        <v>136207772.7016433</v>
      </c>
      <c r="BF23" s="2"/>
      <c r="BG23" s="6">
        <f>IF(BG2&lt;='Enter and Change Data Here'!$G$26,BE23+BG19,0)</f>
        <v>146289248.84094247</v>
      </c>
      <c r="BH23" s="2"/>
      <c r="BI23" s="6">
        <f>IF(BI2&lt;='Enter and Change Data Here'!$G$26,BG23+BI19,0)</f>
        <v>0</v>
      </c>
      <c r="BJ23" s="2"/>
      <c r="BK23" s="6">
        <f>IF(BK2&lt;='Enter and Change Data Here'!$G$26,BI23+BK19,0)</f>
        <v>0</v>
      </c>
      <c r="BL23" s="2"/>
      <c r="BM23" s="6">
        <f>IF(BM2&lt;='Enter and Change Data Here'!$G$26,BK23+BM19,0)</f>
        <v>0</v>
      </c>
      <c r="BN23" s="2"/>
      <c r="BO23" s="6">
        <f>IF(BO2&lt;='Enter and Change Data Here'!$G$26,BM23+BO19,0)</f>
        <v>0</v>
      </c>
      <c r="BP23" s="2"/>
      <c r="BQ23" s="6">
        <f>IF(BQ2&lt;='Enter and Change Data Here'!$G$26,BO23+BQ19,0)</f>
        <v>0</v>
      </c>
      <c r="BR23" s="32"/>
      <c r="BS23" s="6">
        <f>IF(BS2&lt;='Enter and Change Data Here'!$G$26,BQ23+BS19,0)</f>
        <v>0</v>
      </c>
      <c r="BT23" s="2"/>
      <c r="BU23" s="6">
        <f>IF(BU2&lt;='Enter and Change Data Here'!$G$26,BS23+BU19,0)</f>
        <v>0</v>
      </c>
      <c r="BV23" s="2"/>
      <c r="BW23" s="6">
        <f>IF(BW2&lt;='Enter and Change Data Here'!$G$26,BU23+BW19,0)</f>
        <v>0</v>
      </c>
      <c r="BX23" s="2"/>
      <c r="BY23" s="6">
        <f>IF(BY2&lt;='Enter and Change Data Here'!$G$26,BW23+BY19,0)</f>
        <v>0</v>
      </c>
      <c r="BZ23" s="2"/>
      <c r="CA23" s="6">
        <f>IF(CA2&lt;='Enter and Change Data Here'!$G$26,BY23+CA19,0)</f>
        <v>0</v>
      </c>
      <c r="CB23" s="2"/>
      <c r="CC23" s="6">
        <f>IF(CC2&lt;='Enter and Change Data Here'!$G$26,CA23+CC19,0)</f>
        <v>0</v>
      </c>
      <c r="CD23" s="2"/>
      <c r="CE23" s="6">
        <f>IF(CE2&lt;='Enter and Change Data Here'!$G$26,CC23+CE19,0)</f>
        <v>0</v>
      </c>
      <c r="CF23" s="2"/>
      <c r="CG23" s="6">
        <f>IF(CG2&lt;='Enter and Change Data Here'!$G$26,CE23+CG19,0)</f>
        <v>0</v>
      </c>
      <c r="CH23" s="2"/>
      <c r="CI23" s="6">
        <f>IF(CI2&lt;='Enter and Change Data Here'!$G$26,CG23+CI19,0)</f>
        <v>0</v>
      </c>
      <c r="CJ23" s="2"/>
      <c r="CK23" s="6">
        <f>IF(CK2&lt;='Enter and Change Data Here'!$G$26,CI23+CK19,0)</f>
        <v>0</v>
      </c>
      <c r="CL23" s="32"/>
      <c r="CM23" s="6">
        <f>IF(CM2&lt;='Enter and Change Data Here'!$G$26,CK23+CM19,0)</f>
        <v>0</v>
      </c>
      <c r="CN23" s="2"/>
      <c r="CO23" s="6">
        <f>IF(CO2&lt;='Enter and Change Data Here'!$G$26,CM23+CO19,0)</f>
        <v>0</v>
      </c>
      <c r="CP23" s="2"/>
      <c r="CQ23" s="6">
        <f>IF(CQ2&lt;='Enter and Change Data Here'!$G$26,CO23+CQ19,0)</f>
        <v>0</v>
      </c>
      <c r="CR23" s="2"/>
      <c r="CS23" s="6">
        <f>IF(CS2&lt;='Enter and Change Data Here'!$G$26,CQ23+CS19,0)</f>
        <v>0</v>
      </c>
      <c r="CT23" s="2"/>
      <c r="CU23" s="6">
        <f>IF(CU2&lt;='Enter and Change Data Here'!$G$26,CS23+CU19,0)</f>
        <v>0</v>
      </c>
      <c r="CV23" s="2"/>
      <c r="CW23" s="6">
        <f>IF(CW2&lt;='Enter and Change Data Here'!$G$26,CU23+CW19,0)</f>
        <v>0</v>
      </c>
      <c r="CX23" s="2"/>
      <c r="CY23" s="6">
        <f>IF(CY2&lt;='Enter and Change Data Here'!$G$26,CW23+CY19,0)</f>
        <v>0</v>
      </c>
      <c r="CZ23" s="2"/>
      <c r="DA23" s="6">
        <f>IF(DA2&lt;='Enter and Change Data Here'!$G$26,CY23+DA19,0)</f>
        <v>0</v>
      </c>
      <c r="DB23" s="2"/>
      <c r="DC23" s="6">
        <f>IF(DC2&lt;='Enter and Change Data Here'!$G$26,DA23+DC19,0)</f>
        <v>0</v>
      </c>
      <c r="DD23" s="2"/>
      <c r="DE23" s="6">
        <f>IF(DE2&lt;='Enter and Change Data Here'!$G$26,DC23+DE19,0)</f>
        <v>0</v>
      </c>
      <c r="DF23" s="198"/>
      <c r="DG23" s="219"/>
      <c r="DH23" s="198"/>
    </row>
    <row r="24" spans="2:112" ht="12.75">
      <c r="B24" s="3"/>
      <c r="C24" s="2" t="s">
        <v>184</v>
      </c>
      <c r="D24" s="2"/>
      <c r="E24" s="2"/>
      <c r="F24" s="2"/>
      <c r="G24" s="150" t="s">
        <v>24</v>
      </c>
      <c r="H24" s="32"/>
      <c r="I24" s="7">
        <f>IF(I2&lt;='Enter and Change Data Here'!$G$26,IF('Cash Flow'!I23&gt;0,IF('Cash Flow'!H23&lt;0,'Cash Flow'!H2+(1-'Cash Flow'!I23/'Cash Flow'!I19),0),0),0)</f>
        <v>0</v>
      </c>
      <c r="J24" s="7"/>
      <c r="K24" s="7">
        <f>IF(K2&lt;='Enter and Change Data Here'!$G$26,IF('Cash Flow'!K23&gt;0,IF('Cash Flow'!I23&lt;0,'Cash Flow'!I2+(1-'Cash Flow'!K23/'Cash Flow'!K19),0),0),0)</f>
        <v>0</v>
      </c>
      <c r="L24" s="7"/>
      <c r="M24" s="7">
        <f>IF(M2&lt;='Enter and Change Data Here'!$G$26,IF('Cash Flow'!M23&gt;0,IF('Cash Flow'!K23&lt;0,'Cash Flow'!K2+(1-'Cash Flow'!M23/'Cash Flow'!M19),0),0),0)</f>
        <v>0</v>
      </c>
      <c r="N24" s="7"/>
      <c r="O24" s="7">
        <f>IF(O2&lt;='Enter and Change Data Here'!$G$26,IF('Cash Flow'!O23&gt;0,IF('Cash Flow'!M23&lt;0,'Cash Flow'!M2+(1-'Cash Flow'!O23/'Cash Flow'!O19),0),0),0)</f>
        <v>0</v>
      </c>
      <c r="P24" s="7"/>
      <c r="Q24" s="7">
        <f>IF(Q2&lt;='Enter and Change Data Here'!$G$26,IF('Cash Flow'!Q23&gt;0,IF('Cash Flow'!O23&lt;0,'Cash Flow'!O2+(1-'Cash Flow'!Q23/'Cash Flow'!Q19),0),0),0)</f>
        <v>0</v>
      </c>
      <c r="R24" s="7"/>
      <c r="S24" s="7">
        <f>IF(S2&lt;='Enter and Change Data Here'!$G$26,IF('Cash Flow'!S23&gt;0,IF('Cash Flow'!Q23&lt;0,'Cash Flow'!Q2+(1-'Cash Flow'!S23/'Cash Flow'!S19),0),0),0)</f>
        <v>0</v>
      </c>
      <c r="T24" s="7"/>
      <c r="U24" s="7">
        <f>IF(U2&lt;='Enter and Change Data Here'!$G$26,IF('Cash Flow'!U23&gt;0,IF('Cash Flow'!S23&lt;0,'Cash Flow'!S2+(1-'Cash Flow'!U23/'Cash Flow'!U19),0),0),0)</f>
        <v>5.802492897868035</v>
      </c>
      <c r="V24" s="7"/>
      <c r="W24" s="7">
        <f>IF(W2&lt;='Enter and Change Data Here'!$G$26,IF('Cash Flow'!W23&gt;0,IF('Cash Flow'!U23&lt;0,'Cash Flow'!U2+(1-'Cash Flow'!W23/'Cash Flow'!W19),0),0),0)</f>
        <v>0</v>
      </c>
      <c r="X24" s="7"/>
      <c r="Y24" s="7">
        <f>IF(Y2&lt;='Enter and Change Data Here'!$G$26,IF('Cash Flow'!Y23&gt;0,IF('Cash Flow'!W23&lt;0,'Cash Flow'!W2+(1-'Cash Flow'!Y23/'Cash Flow'!Y19),0),0),0)</f>
        <v>0</v>
      </c>
      <c r="Z24" s="7"/>
      <c r="AA24" s="7">
        <f>IF(AA2&lt;='Enter and Change Data Here'!$G$26,IF('Cash Flow'!AA23&gt;0,IF('Cash Flow'!Y23&lt;0,'Cash Flow'!Y2+(1-'Cash Flow'!AA23/'Cash Flow'!AA19),0),0),0)</f>
        <v>0</v>
      </c>
      <c r="AB24" s="7"/>
      <c r="AC24" s="7">
        <f>IF(AC2&lt;='Enter and Change Data Here'!$G$26,IF('Cash Flow'!AC23&gt;0,IF('Cash Flow'!AA23&lt;0,'Cash Flow'!AA2+(1-'Cash Flow'!AC23/'Cash Flow'!AC19),0),0),0)</f>
        <v>0</v>
      </c>
      <c r="AD24" s="32"/>
      <c r="AE24" s="7">
        <f>IF(AE2&lt;='Enter and Change Data Here'!$G$26,IF('Cash Flow'!AE23&gt;0,IF('Cash Flow'!AC23&lt;0,'Cash Flow'!AC2+(1-'Cash Flow'!AE23/'Cash Flow'!AE19),0),0),0)</f>
        <v>0</v>
      </c>
      <c r="AF24" s="7"/>
      <c r="AG24" s="7">
        <f>IF(AG2&lt;='Enter and Change Data Here'!$G$26,IF('Cash Flow'!AG23&gt;0,IF('Cash Flow'!AE23&lt;0,'Cash Flow'!AE2+(1-'Cash Flow'!AG23/'Cash Flow'!AG19),0),0),0)</f>
        <v>0</v>
      </c>
      <c r="AH24" s="7"/>
      <c r="AI24" s="7">
        <f>IF(AI2&lt;='Enter and Change Data Here'!$G$26,IF('Cash Flow'!AI23&gt;0,IF('Cash Flow'!AG23&lt;0,'Cash Flow'!AG2+(1-'Cash Flow'!AI23/'Cash Flow'!AI19),0),0),0)</f>
        <v>0</v>
      </c>
      <c r="AJ24" s="7"/>
      <c r="AK24" s="7">
        <f>IF(AK2&lt;='Enter and Change Data Here'!$G$26,IF('Cash Flow'!AK23&gt;0,IF('Cash Flow'!AI23&lt;0,'Cash Flow'!AI2+(1-'Cash Flow'!AK23/'Cash Flow'!AK19),0),0),0)</f>
        <v>0</v>
      </c>
      <c r="AL24" s="7"/>
      <c r="AM24" s="7">
        <f>IF(AM2&lt;='Enter and Change Data Here'!$G$26,IF('Cash Flow'!AM23&gt;0,IF('Cash Flow'!AK23&lt;0,'Cash Flow'!AK2+(1-'Cash Flow'!AM23/'Cash Flow'!AM19),0),0),0)</f>
        <v>0</v>
      </c>
      <c r="AN24" s="7"/>
      <c r="AO24" s="7">
        <f>IF(AO2&lt;='Enter and Change Data Here'!$G$26,IF('Cash Flow'!AO23&gt;0,IF('Cash Flow'!AM23&lt;0,'Cash Flow'!AM2+(1-'Cash Flow'!AO23/'Cash Flow'!AO19),0),0),0)</f>
        <v>0</v>
      </c>
      <c r="AP24" s="7"/>
      <c r="AQ24" s="7">
        <f>IF(AQ2&lt;='Enter and Change Data Here'!$G$26,IF('Cash Flow'!AQ23&gt;0,IF('Cash Flow'!AO23&lt;0,'Cash Flow'!AO2+(1-'Cash Flow'!AQ23/'Cash Flow'!AQ19),0),0),0)</f>
        <v>0</v>
      </c>
      <c r="AR24" s="7"/>
      <c r="AS24" s="7">
        <f>IF(AS2&lt;='Enter and Change Data Here'!$G$26,IF('Cash Flow'!AS23&gt;0,IF('Cash Flow'!AQ23&lt;0,'Cash Flow'!AQ2+(1-'Cash Flow'!AS23/'Cash Flow'!AS19),0),0),0)</f>
        <v>0</v>
      </c>
      <c r="AT24" s="7"/>
      <c r="AU24" s="7">
        <f>IF(AU2&lt;='Enter and Change Data Here'!$G$26,IF('Cash Flow'!AU23&gt;0,IF('Cash Flow'!AS23&lt;0,'Cash Flow'!AS2+(1-'Cash Flow'!AU23/'Cash Flow'!AU19),0),0),0)</f>
        <v>0</v>
      </c>
      <c r="AV24" s="7"/>
      <c r="AW24" s="7">
        <f>IF(AW2&lt;='Enter and Change Data Here'!$G$26,IF('Cash Flow'!AW23&gt;0,IF('Cash Flow'!AU23&lt;0,'Cash Flow'!AU2+(1-'Cash Flow'!AW23/'Cash Flow'!AW19),0),0),0)</f>
        <v>0</v>
      </c>
      <c r="AX24" s="32"/>
      <c r="AY24" s="7">
        <f>IF(AY2&lt;='Enter and Change Data Here'!$G$26,IF('Cash Flow'!AY23&gt;0,IF('Cash Flow'!AW23&lt;0,'Cash Flow'!AW2+(1-'Cash Flow'!AY23/'Cash Flow'!AY19),0),0),0)</f>
        <v>0</v>
      </c>
      <c r="AZ24" s="7"/>
      <c r="BA24" s="7">
        <f>IF(BA2&lt;='Enter and Change Data Here'!$G$26,IF('Cash Flow'!BA23&gt;0,IF('Cash Flow'!AY23&lt;0,'Cash Flow'!AY2+(1-'Cash Flow'!BA23/'Cash Flow'!BA19),0),0),0)</f>
        <v>0</v>
      </c>
      <c r="BB24" s="7"/>
      <c r="BC24" s="7">
        <f>IF(BC2&lt;='Enter and Change Data Here'!$G$26,IF('Cash Flow'!BC23&gt;0,IF('Cash Flow'!BA23&lt;0,'Cash Flow'!BA2+(1-'Cash Flow'!BC23/'Cash Flow'!BC19),0),0),0)</f>
        <v>0</v>
      </c>
      <c r="BD24" s="7"/>
      <c r="BE24" s="7">
        <f>IF(BE2&lt;='Enter and Change Data Here'!$G$26,IF('Cash Flow'!BE23&gt;0,IF('Cash Flow'!BC23&lt;0,'Cash Flow'!BC2+(1-'Cash Flow'!BE23/'Cash Flow'!BE19),0),0),0)</f>
        <v>0</v>
      </c>
      <c r="BF24" s="7"/>
      <c r="BG24" s="7">
        <f>IF(BG2&lt;='Enter and Change Data Here'!$G$26,IF('Cash Flow'!BG23&gt;0,IF('Cash Flow'!BE23&lt;0,'Cash Flow'!BE2+(1-'Cash Flow'!BG23/'Cash Flow'!BG19),0),0),0)</f>
        <v>0</v>
      </c>
      <c r="BH24" s="7"/>
      <c r="BI24" s="7">
        <f>IF(BI2&lt;='Enter and Change Data Here'!$G$26,IF('Cash Flow'!BI23&gt;0,IF('Cash Flow'!BG23&lt;0,'Cash Flow'!BG2+(1-'Cash Flow'!BI23/'Cash Flow'!BI19),0),0),0)</f>
        <v>0</v>
      </c>
      <c r="BJ24" s="7"/>
      <c r="BK24" s="7">
        <f>IF(BK2&lt;='Enter and Change Data Here'!$G$26,IF('Cash Flow'!BK23&gt;0,IF('Cash Flow'!BI23&lt;0,'Cash Flow'!BI2+(1-'Cash Flow'!BK23/'Cash Flow'!BK19),0),0),0)</f>
        <v>0</v>
      </c>
      <c r="BL24" s="7"/>
      <c r="BM24" s="7">
        <f>IF(BM2&lt;='Enter and Change Data Here'!$G$26,IF('Cash Flow'!BM23&gt;0,IF('Cash Flow'!BK23&lt;0,'Cash Flow'!BK2+(1-'Cash Flow'!BM23/'Cash Flow'!BM19),0),0),0)</f>
        <v>0</v>
      </c>
      <c r="BN24" s="7"/>
      <c r="BO24" s="7">
        <f>IF(BO2&lt;='Enter and Change Data Here'!$G$26,IF('Cash Flow'!BO23&gt;0,IF('Cash Flow'!BM23&lt;0,'Cash Flow'!BM2+(1-'Cash Flow'!BO23/'Cash Flow'!BO19),0),0),0)</f>
        <v>0</v>
      </c>
      <c r="BP24" s="7"/>
      <c r="BQ24" s="7">
        <f>IF(BQ2&lt;='Enter and Change Data Here'!$G$26,IF('Cash Flow'!BQ23&gt;0,IF('Cash Flow'!BO23&lt;0,'Cash Flow'!BO2+(1-'Cash Flow'!BQ23/'Cash Flow'!BQ19),0),0),0)</f>
        <v>0</v>
      </c>
      <c r="BR24" s="32"/>
      <c r="BS24" s="7">
        <f>IF(BS2&lt;='Enter and Change Data Here'!$G$26,IF('Cash Flow'!BS23&gt;0,IF('Cash Flow'!BQ23&lt;0,'Cash Flow'!BQ2+(1-'Cash Flow'!BS23/'Cash Flow'!BS19),0),0),0)</f>
        <v>0</v>
      </c>
      <c r="BT24" s="7"/>
      <c r="BU24" s="7">
        <f>IF(BU2&lt;='Enter and Change Data Here'!$G$26,IF('Cash Flow'!BU23&gt;0,IF('Cash Flow'!BS23&lt;0,'Cash Flow'!BS2+(1-'Cash Flow'!BU23/'Cash Flow'!BU19),0),0),0)</f>
        <v>0</v>
      </c>
      <c r="BV24" s="7"/>
      <c r="BW24" s="7">
        <f>IF(BW2&lt;='Enter and Change Data Here'!$G$26,IF('Cash Flow'!BW23&gt;0,IF('Cash Flow'!BU23&lt;0,'Cash Flow'!BU2+(1-'Cash Flow'!BW23/'Cash Flow'!BW19),0),0),0)</f>
        <v>0</v>
      </c>
      <c r="BX24" s="7"/>
      <c r="BY24" s="7">
        <f>IF(BY2&lt;='Enter and Change Data Here'!$G$26,IF('Cash Flow'!BY23&gt;0,IF('Cash Flow'!BW23&lt;0,'Cash Flow'!BW2+(1-'Cash Flow'!BY23/'Cash Flow'!BY19),0),0),0)</f>
        <v>0</v>
      </c>
      <c r="BZ24" s="7"/>
      <c r="CA24" s="7">
        <f>IF(CA2&lt;='Enter and Change Data Here'!$G$26,IF('Cash Flow'!CA23&gt;0,IF('Cash Flow'!BY23&lt;0,'Cash Flow'!BY2+(1-'Cash Flow'!CA23/'Cash Flow'!CA19),0),0),0)</f>
        <v>0</v>
      </c>
      <c r="CB24" s="7"/>
      <c r="CC24" s="7">
        <f>IF(CC2&lt;='Enter and Change Data Here'!$G$26,IF('Cash Flow'!CC23&gt;0,IF('Cash Flow'!CA23&lt;0,'Cash Flow'!CA2+(1-'Cash Flow'!CC23/'Cash Flow'!CC19),0),0),0)</f>
        <v>0</v>
      </c>
      <c r="CD24" s="7"/>
      <c r="CE24" s="7">
        <f>IF(CE2&lt;='Enter and Change Data Here'!$G$26,IF('Cash Flow'!CE23&gt;0,IF('Cash Flow'!CC23&lt;0,'Cash Flow'!CC2+(1-'Cash Flow'!CE23/'Cash Flow'!CE19),0),0),0)</f>
        <v>0</v>
      </c>
      <c r="CF24" s="7"/>
      <c r="CG24" s="7">
        <f>IF(CG2&lt;='Enter and Change Data Here'!$G$26,IF('Cash Flow'!CG23&gt;0,IF('Cash Flow'!CE23&lt;0,'Cash Flow'!CE2+(1-'Cash Flow'!CG23/'Cash Flow'!CG19),0),0),0)</f>
        <v>0</v>
      </c>
      <c r="CH24" s="7"/>
      <c r="CI24" s="7">
        <f>IF(CI2&lt;='Enter and Change Data Here'!$G$26,IF('Cash Flow'!CI23&gt;0,IF('Cash Flow'!CG23&lt;0,'Cash Flow'!CG2+(1-'Cash Flow'!CI23/'Cash Flow'!CI19),0),0),0)</f>
        <v>0</v>
      </c>
      <c r="CJ24" s="7"/>
      <c r="CK24" s="7">
        <f>IF(CK2&lt;='Enter and Change Data Here'!$G$26,IF('Cash Flow'!CK23&gt;0,IF('Cash Flow'!CI23&lt;0,'Cash Flow'!CI2+(1-'Cash Flow'!CK23/'Cash Flow'!CK19),0),0),0)</f>
        <v>0</v>
      </c>
      <c r="CL24" s="32"/>
      <c r="CM24" s="7">
        <f>IF(CM2&lt;='Enter and Change Data Here'!$G$26,IF('Cash Flow'!CM23&gt;0,IF('Cash Flow'!CK23&lt;0,'Cash Flow'!CK2+(1-'Cash Flow'!CM23/'Cash Flow'!CM19),0),0),0)</f>
        <v>0</v>
      </c>
      <c r="CN24" s="7"/>
      <c r="CO24" s="7">
        <f>IF(CO2&lt;='Enter and Change Data Here'!$G$26,IF('Cash Flow'!CO23&gt;0,IF('Cash Flow'!CM23&lt;0,'Cash Flow'!CM2+(1-'Cash Flow'!CO23/'Cash Flow'!CO19),0),0),0)</f>
        <v>0</v>
      </c>
      <c r="CP24" s="7"/>
      <c r="CQ24" s="7">
        <f>IF(CQ2&lt;='Enter and Change Data Here'!$G$26,IF('Cash Flow'!CQ23&gt;0,IF('Cash Flow'!CO23&lt;0,'Cash Flow'!CO2+(1-'Cash Flow'!CQ23/'Cash Flow'!CQ19),0),0),0)</f>
        <v>0</v>
      </c>
      <c r="CR24" s="7"/>
      <c r="CS24" s="7">
        <f>IF(CS2&lt;='Enter and Change Data Here'!$G$26,IF('Cash Flow'!CS23&gt;0,IF('Cash Flow'!CQ23&lt;0,'Cash Flow'!CQ2+(1-'Cash Flow'!CS23/'Cash Flow'!CS19),0),0),0)</f>
        <v>0</v>
      </c>
      <c r="CT24" s="7"/>
      <c r="CU24" s="7">
        <f>IF(CU2&lt;='Enter and Change Data Here'!$G$26,IF('Cash Flow'!CU23&gt;0,IF('Cash Flow'!CS23&lt;0,'Cash Flow'!CS2+(1-'Cash Flow'!CU23/'Cash Flow'!CU19),0),0),0)</f>
        <v>0</v>
      </c>
      <c r="CV24" s="7"/>
      <c r="CW24" s="7">
        <f>IF(CW2&lt;='Enter and Change Data Here'!$G$26,IF('Cash Flow'!CW23&gt;0,IF('Cash Flow'!CU23&lt;0,'Cash Flow'!CU2+(1-'Cash Flow'!CW23/'Cash Flow'!CW19),0),0),0)</f>
        <v>0</v>
      </c>
      <c r="CX24" s="7"/>
      <c r="CY24" s="7">
        <f>IF(CY2&lt;='Enter and Change Data Here'!$G$26,IF('Cash Flow'!CY23&gt;0,IF('Cash Flow'!CW23&lt;0,'Cash Flow'!CW2+(1-'Cash Flow'!CY23/'Cash Flow'!CY19),0),0),0)</f>
        <v>0</v>
      </c>
      <c r="CZ24" s="7"/>
      <c r="DA24" s="7">
        <f>IF(DA2&lt;='Enter and Change Data Here'!$G$26,IF('Cash Flow'!DA23&gt;0,IF('Cash Flow'!CY23&lt;0,'Cash Flow'!CY2+(1-'Cash Flow'!DA23/'Cash Flow'!DA19),0),0),0)</f>
        <v>0</v>
      </c>
      <c r="DB24" s="7"/>
      <c r="DC24" s="7">
        <f>IF(DC2&lt;='Enter and Change Data Here'!$G$26,IF('Cash Flow'!DC23&gt;0,IF('Cash Flow'!DA23&lt;0,'Cash Flow'!DA2+(1-'Cash Flow'!DC23/'Cash Flow'!DC19),0),0),0)</f>
        <v>0</v>
      </c>
      <c r="DD24" s="7"/>
      <c r="DE24" s="7">
        <f>IF(DE2&lt;='Enter and Change Data Here'!$G$26,IF('Cash Flow'!DE23&gt;0,IF('Cash Flow'!DC23&lt;0,'Cash Flow'!DC2+(1-'Cash Flow'!DE23/'Cash Flow'!DE19),0),0),0)</f>
        <v>0</v>
      </c>
      <c r="DF24" s="198"/>
      <c r="DG24" s="220">
        <f>SUM(I24:DE24)</f>
        <v>5.802492897868035</v>
      </c>
      <c r="DH24" s="198"/>
    </row>
    <row r="25" spans="2:112" ht="12.75">
      <c r="B25" s="3"/>
      <c r="C25" s="2"/>
      <c r="D25" s="2"/>
      <c r="E25" s="2"/>
      <c r="F25" s="2"/>
      <c r="G25" s="2"/>
      <c r="H25" s="3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3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3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198"/>
      <c r="DG25" s="3"/>
      <c r="DH25" s="198"/>
    </row>
    <row r="26" spans="2:112" ht="12.75">
      <c r="B26" s="3"/>
      <c r="C26" s="2" t="s">
        <v>161</v>
      </c>
      <c r="D26" s="2"/>
      <c r="E26" s="2"/>
      <c r="F26" s="2"/>
      <c r="G26" s="150" t="str">
        <f>CONCATENATE("(",'Enter and Change Data Here'!$G$13,")")</f>
        <v>($US)</v>
      </c>
      <c r="H26" s="32"/>
      <c r="I26" s="139">
        <f>0</f>
        <v>0</v>
      </c>
      <c r="J26" s="2"/>
      <c r="K26" s="6">
        <f>-IF(K2&lt;='Enter and Change Data Here'!$O$87,'Enter and Change Data Here'!$O$26/'Enter and Change Data Here'!$O$87,0)</f>
        <v>-4478495.762711864</v>
      </c>
      <c r="L26" s="2"/>
      <c r="M26" s="6">
        <f>-IF(M2&lt;='Enter and Change Data Here'!$O$87,'Enter and Change Data Here'!$O$26/'Enter and Change Data Here'!$O$87,0)</f>
        <v>-4478495.762711864</v>
      </c>
      <c r="N26" s="2"/>
      <c r="O26" s="6">
        <f>-IF(O2&lt;='Enter and Change Data Here'!$O$87,'Enter and Change Data Here'!$O$26/'Enter and Change Data Here'!$O$87,0)</f>
        <v>-4478495.762711864</v>
      </c>
      <c r="P26" s="2"/>
      <c r="Q26" s="6">
        <f>-IF(Q2&lt;='Enter and Change Data Here'!$O$87,'Enter and Change Data Here'!$O$26/'Enter and Change Data Here'!$O$87,0)</f>
        <v>-4478495.762711864</v>
      </c>
      <c r="R26" s="2"/>
      <c r="S26" s="6">
        <f>-IF(S2&lt;='Enter and Change Data Here'!$O$87,'Enter and Change Data Here'!$O$26/'Enter and Change Data Here'!$O$87,0)</f>
        <v>-4478495.762711864</v>
      </c>
      <c r="T26" s="2"/>
      <c r="U26" s="6">
        <f>-IF(U2&lt;='Enter and Change Data Here'!$O$87,'Enter and Change Data Here'!$O$26/'Enter and Change Data Here'!$O$87,0)</f>
        <v>-4478495.762711864</v>
      </c>
      <c r="V26" s="2"/>
      <c r="W26" s="6">
        <f>-IF(W2&lt;='Enter and Change Data Here'!$O$87,'Enter and Change Data Here'!$O$26/'Enter and Change Data Here'!$O$87,0)</f>
        <v>-4478495.762711864</v>
      </c>
      <c r="X26" s="2"/>
      <c r="Y26" s="6">
        <f>-IF(Y2&lt;='Enter and Change Data Here'!$O$87,'Enter and Change Data Here'!$O$26/'Enter and Change Data Here'!$O$87,0)</f>
        <v>-4478495.762711864</v>
      </c>
      <c r="Z26" s="2"/>
      <c r="AA26" s="6">
        <f>-IF(AA2&lt;='Enter and Change Data Here'!$O$87,'Enter and Change Data Here'!$O$26/'Enter and Change Data Here'!$O$87,0)</f>
        <v>-4478495.762711864</v>
      </c>
      <c r="AB26" s="2"/>
      <c r="AC26" s="6">
        <f>-IF(AC2&lt;='Enter and Change Data Here'!$O$87,'Enter and Change Data Here'!$O$26/'Enter and Change Data Here'!$O$87,0)</f>
        <v>-4478495.762711864</v>
      </c>
      <c r="AD26" s="32"/>
      <c r="AE26" s="6">
        <f>-IF(AE2&lt;='Enter and Change Data Here'!$O$87,'Enter and Change Data Here'!$O$26/'Enter and Change Data Here'!$O$87,0)</f>
        <v>-4478495.762711864</v>
      </c>
      <c r="AF26" s="2"/>
      <c r="AG26" s="6">
        <f>-IF(AG2&lt;='Enter and Change Data Here'!$O$87,'Enter and Change Data Here'!$O$26/'Enter and Change Data Here'!$O$87,0)</f>
        <v>-4478495.762711864</v>
      </c>
      <c r="AH26" s="2"/>
      <c r="AI26" s="6">
        <f>-IF(AI2&lt;='Enter and Change Data Here'!$O$87,'Enter and Change Data Here'!$O$26/'Enter and Change Data Here'!$O$87,0)</f>
        <v>-4478495.762711864</v>
      </c>
      <c r="AJ26" s="2"/>
      <c r="AK26" s="6">
        <f>-IF(AK2&lt;='Enter and Change Data Here'!$O$87,'Enter and Change Data Here'!$O$26/'Enter and Change Data Here'!$O$87,0)</f>
        <v>-4478495.762711864</v>
      </c>
      <c r="AL26" s="2"/>
      <c r="AM26" s="6">
        <f>-IF(AM2&lt;='Enter and Change Data Here'!$O$87,'Enter and Change Data Here'!$O$26/'Enter and Change Data Here'!$O$87,0)</f>
        <v>-4478495.762711864</v>
      </c>
      <c r="AN26" s="2"/>
      <c r="AO26" s="6">
        <f>-IF(AO2&lt;='Enter and Change Data Here'!$O$87,'Enter and Change Data Here'!$O$26/'Enter and Change Data Here'!$O$87,0)</f>
        <v>-4478495.762711864</v>
      </c>
      <c r="AP26" s="2"/>
      <c r="AQ26" s="6">
        <f>-IF(AQ2&lt;='Enter and Change Data Here'!$O$87,'Enter and Change Data Here'!$O$26/'Enter and Change Data Here'!$O$87,0)</f>
        <v>-4478495.762711864</v>
      </c>
      <c r="AR26" s="2"/>
      <c r="AS26" s="6">
        <f>-IF(AS2&lt;='Enter and Change Data Here'!$O$87,'Enter and Change Data Here'!$O$26/'Enter and Change Data Here'!$O$87,0)</f>
        <v>-4478495.762711864</v>
      </c>
      <c r="AT26" s="2"/>
      <c r="AU26" s="6">
        <f>-IF(AU2&lt;='Enter and Change Data Here'!$O$87,'Enter and Change Data Here'!$O$26/'Enter and Change Data Here'!$O$87,0)</f>
        <v>-4478495.762711864</v>
      </c>
      <c r="AV26" s="2"/>
      <c r="AW26" s="6">
        <f>-IF(AW2&lt;='Enter and Change Data Here'!$O$87,'Enter and Change Data Here'!$O$26/'Enter and Change Data Here'!$O$87,0)</f>
        <v>-4478495.762711864</v>
      </c>
      <c r="AX26" s="32"/>
      <c r="AY26" s="6">
        <f>-IF(AY2&lt;='Enter and Change Data Here'!$O$87,'Enter and Change Data Here'!$O$26/'Enter and Change Data Here'!$O$87,0)</f>
        <v>0</v>
      </c>
      <c r="AZ26" s="2"/>
      <c r="BA26" s="6">
        <f>-IF(BA2&lt;='Enter and Change Data Here'!$O$87,'Enter and Change Data Here'!$O$26/'Enter and Change Data Here'!$O$87,0)</f>
        <v>0</v>
      </c>
      <c r="BB26" s="2"/>
      <c r="BC26" s="6">
        <f>-IF(BC2&lt;='Enter and Change Data Here'!$O$87,'Enter and Change Data Here'!$O$26/'Enter and Change Data Here'!$O$87,0)</f>
        <v>0</v>
      </c>
      <c r="BD26" s="2"/>
      <c r="BE26" s="6">
        <f>-IF(BE2&lt;='Enter and Change Data Here'!$O$87,'Enter and Change Data Here'!$O$26/'Enter and Change Data Here'!$O$87,0)</f>
        <v>0</v>
      </c>
      <c r="BF26" s="2"/>
      <c r="BG26" s="6">
        <f>-IF(BG2&lt;='Enter and Change Data Here'!$O$87,'Enter and Change Data Here'!$O$26/'Enter and Change Data Here'!$O$87,0)</f>
        <v>0</v>
      </c>
      <c r="BH26" s="2"/>
      <c r="BI26" s="6">
        <f>-IF(BI2&lt;='Enter and Change Data Here'!$O$87,'Enter and Change Data Here'!$O$26/'Enter and Change Data Here'!$O$87,0)</f>
        <v>0</v>
      </c>
      <c r="BJ26" s="2"/>
      <c r="BK26" s="6">
        <f>-IF(BK2&lt;='Enter and Change Data Here'!$O$87,'Enter and Change Data Here'!$O$26/'Enter and Change Data Here'!$O$87,0)</f>
        <v>0</v>
      </c>
      <c r="BL26" s="2"/>
      <c r="BM26" s="6">
        <f>-IF(BM2&lt;='Enter and Change Data Here'!$O$87,'Enter and Change Data Here'!$O$26/'Enter and Change Data Here'!$O$87,0)</f>
        <v>0</v>
      </c>
      <c r="BN26" s="2"/>
      <c r="BO26" s="6">
        <f>-IF(BO2&lt;='Enter and Change Data Here'!$O$87,'Enter and Change Data Here'!$O$26/'Enter and Change Data Here'!$O$87,0)</f>
        <v>0</v>
      </c>
      <c r="BP26" s="2"/>
      <c r="BQ26" s="6">
        <f>-IF(BQ2&lt;='Enter and Change Data Here'!$O$87,'Enter and Change Data Here'!$O$26/'Enter and Change Data Here'!$O$87,0)</f>
        <v>0</v>
      </c>
      <c r="BR26" s="32"/>
      <c r="BS26" s="6">
        <f>-IF(BS2&lt;='Enter and Change Data Here'!$O$87,'Enter and Change Data Here'!$O$26/'Enter and Change Data Here'!$O$87,0)</f>
        <v>0</v>
      </c>
      <c r="BT26" s="2"/>
      <c r="BU26" s="6">
        <f>-IF(BU2&lt;='Enter and Change Data Here'!$O$87,'Enter and Change Data Here'!$O$26/'Enter and Change Data Here'!$O$87,0)</f>
        <v>0</v>
      </c>
      <c r="BV26" s="2"/>
      <c r="BW26" s="6">
        <f>-IF(BW2&lt;='Enter and Change Data Here'!$O$87,'Enter and Change Data Here'!$O$26/'Enter and Change Data Here'!$O$87,0)</f>
        <v>0</v>
      </c>
      <c r="BX26" s="2"/>
      <c r="BY26" s="6">
        <f>-IF(BY2&lt;='Enter and Change Data Here'!$O$87,'Enter and Change Data Here'!$O$26/'Enter and Change Data Here'!$O$87,0)</f>
        <v>0</v>
      </c>
      <c r="BZ26" s="2"/>
      <c r="CA26" s="6">
        <f>-IF(CA2&lt;='Enter and Change Data Here'!$O$87,'Enter and Change Data Here'!$O$26/'Enter and Change Data Here'!$O$87,0)</f>
        <v>0</v>
      </c>
      <c r="CB26" s="2"/>
      <c r="CC26" s="6">
        <f>-IF(CC2&lt;='Enter and Change Data Here'!$O$87,'Enter and Change Data Here'!$O$26/'Enter and Change Data Here'!$O$87,0)</f>
        <v>0</v>
      </c>
      <c r="CD26" s="2"/>
      <c r="CE26" s="6">
        <f>-IF(CE2&lt;='Enter and Change Data Here'!$O$87,'Enter and Change Data Here'!$O$26/'Enter and Change Data Here'!$O$87,0)</f>
        <v>0</v>
      </c>
      <c r="CF26" s="2"/>
      <c r="CG26" s="6">
        <f>-IF(CG2&lt;='Enter and Change Data Here'!$O$87,'Enter and Change Data Here'!$O$26/'Enter and Change Data Here'!$O$87,0)</f>
        <v>0</v>
      </c>
      <c r="CH26" s="2"/>
      <c r="CI26" s="6">
        <f>-IF(CI2&lt;='Enter and Change Data Here'!$O$87,'Enter and Change Data Here'!$O$26/'Enter and Change Data Here'!$O$87,0)</f>
        <v>0</v>
      </c>
      <c r="CJ26" s="2"/>
      <c r="CK26" s="6">
        <f>-IF(CK2&lt;='Enter and Change Data Here'!$O$87,'Enter and Change Data Here'!$O$26/'Enter and Change Data Here'!$O$87,0)</f>
        <v>0</v>
      </c>
      <c r="CL26" s="32"/>
      <c r="CM26" s="6">
        <f>-IF(CM2&lt;='Enter and Change Data Here'!$O$87,'Enter and Change Data Here'!$O$26/'Enter and Change Data Here'!$O$87,0)</f>
        <v>0</v>
      </c>
      <c r="CN26" s="2"/>
      <c r="CO26" s="6">
        <f>-IF(CO2&lt;='Enter and Change Data Here'!$O$87,'Enter and Change Data Here'!$O$26/'Enter and Change Data Here'!$O$87,0)</f>
        <v>0</v>
      </c>
      <c r="CP26" s="2"/>
      <c r="CQ26" s="6">
        <f>-IF(CQ2&lt;='Enter and Change Data Here'!$O$87,'Enter and Change Data Here'!$O$26/'Enter and Change Data Here'!$O$87,0)</f>
        <v>0</v>
      </c>
      <c r="CR26" s="2"/>
      <c r="CS26" s="6">
        <f>-IF(CS2&lt;='Enter and Change Data Here'!$O$87,'Enter and Change Data Here'!$O$26/'Enter and Change Data Here'!$O$87,0)</f>
        <v>0</v>
      </c>
      <c r="CT26" s="2"/>
      <c r="CU26" s="6">
        <f>-IF(CU2&lt;='Enter and Change Data Here'!$O$87,'Enter and Change Data Here'!$O$26/'Enter and Change Data Here'!$O$87,0)</f>
        <v>0</v>
      </c>
      <c r="CV26" s="2"/>
      <c r="CW26" s="6">
        <f>-IF(CW2&lt;='Enter and Change Data Here'!$O$87,'Enter and Change Data Here'!$O$26/'Enter and Change Data Here'!$O$87,0)</f>
        <v>0</v>
      </c>
      <c r="CX26" s="2"/>
      <c r="CY26" s="6">
        <f>-IF(CY2&lt;='Enter and Change Data Here'!$O$87,'Enter and Change Data Here'!$O$26/'Enter and Change Data Here'!$O$87,0)</f>
        <v>0</v>
      </c>
      <c r="CZ26" s="2"/>
      <c r="DA26" s="6">
        <f>-IF(DA2&lt;='Enter and Change Data Here'!$O$87,'Enter and Change Data Here'!$O$26/'Enter and Change Data Here'!$O$87,0)</f>
        <v>0</v>
      </c>
      <c r="DB26" s="2"/>
      <c r="DC26" s="6">
        <f>-IF(DC2&lt;='Enter and Change Data Here'!$O$87,'Enter and Change Data Here'!$O$26/'Enter and Change Data Here'!$O$87,0)</f>
        <v>0</v>
      </c>
      <c r="DD26" s="2"/>
      <c r="DE26" s="6">
        <f>-IF(DE2&lt;='Enter and Change Data Here'!$O$87,'Enter and Change Data Here'!$O$26/'Enter and Change Data Here'!$O$87,0)</f>
        <v>0</v>
      </c>
      <c r="DF26" s="198"/>
      <c r="DG26" s="3"/>
      <c r="DH26" s="198"/>
    </row>
    <row r="27" spans="2:112" ht="12.75">
      <c r="B27" s="3"/>
      <c r="C27" s="2" t="s">
        <v>166</v>
      </c>
      <c r="D27" s="2"/>
      <c r="E27" s="2"/>
      <c r="F27" s="2"/>
      <c r="G27" s="150" t="str">
        <f>CONCATENATE("(",'Enter and Change Data Here'!$G$13,")")</f>
        <v>($US)</v>
      </c>
      <c r="H27" s="32"/>
      <c r="I27" s="6">
        <f>I5+I7+I8+I9+I16+I26</f>
        <v>-3000000</v>
      </c>
      <c r="J27" s="2"/>
      <c r="K27" s="6">
        <f>K5+K7+K8+K9+K16+K26</f>
        <v>3659851.288135592</v>
      </c>
      <c r="L27" s="2"/>
      <c r="M27" s="6">
        <f>M5+M7+M8+M9+M16+M26</f>
        <v>5563066.400496997</v>
      </c>
      <c r="N27" s="2"/>
      <c r="O27" s="6">
        <f>O5+O7+O8+O9+O16+O26</f>
        <v>6621018.773770934</v>
      </c>
      <c r="P27" s="2"/>
      <c r="Q27" s="6">
        <f>Q5+Q7+Q8+Q9+Q16+Q26</f>
        <v>6808163.06511952</v>
      </c>
      <c r="R27" s="2"/>
      <c r="S27" s="6">
        <f>S5+S7+S8+S9+S16+S26</f>
        <v>7002753.259022281</v>
      </c>
      <c r="T27" s="2"/>
      <c r="U27" s="6">
        <f>U5+U7+U8+U9+U16+U26</f>
        <v>7205413.378434014</v>
      </c>
      <c r="V27" s="2"/>
      <c r="W27" s="6">
        <f>W5+W7+W8+W9+W16+W26</f>
        <v>7416824.10454395</v>
      </c>
      <c r="X27" s="2"/>
      <c r="Y27" s="6">
        <f>Y5+Y7+Y8+Y9+Y16+Y26</f>
        <v>7637727.900123505</v>
      </c>
      <c r="Z27" s="2"/>
      <c r="AA27" s="6">
        <f>AA5+AA7+AA8+AA9+AA16+AA26</f>
        <v>7868934.594599437</v>
      </c>
      <c r="AB27" s="2"/>
      <c r="AC27" s="6">
        <f>AC5+AC7+AC8+AC9+AC16+AC26</f>
        <v>8111327.472421281</v>
      </c>
      <c r="AD27" s="32"/>
      <c r="AE27" s="6">
        <f>AE5+AE7+AE8+AE9+AE16+AE26</f>
        <v>8365869.9100340605</v>
      </c>
      <c r="AF27" s="2"/>
      <c r="AG27" s="6">
        <f>AG5+AG7+AG8+AG9+AG16+AG26</f>
        <v>8633612.610844983</v>
      </c>
      <c r="AH27" s="2"/>
      <c r="AI27" s="6">
        <f>AI5+AI7+AI8+AI9+AI16+AI26</f>
        <v>8915701.492018552</v>
      </c>
      <c r="AJ27" s="2"/>
      <c r="AK27" s="6">
        <f>AK5+AK7+AK8+AK9+AK16+AK26</f>
        <v>9213386.281779598</v>
      </c>
      <c r="AL27" s="2"/>
      <c r="AM27" s="6">
        <f>AM5+AM7+AM8+AM9+AM16+AM26</f>
        <v>9528029.891185494</v>
      </c>
      <c r="AN27" s="2"/>
      <c r="AO27" s="6">
        <f>AO5+AO7+AO8+AO9+AO16+AO26</f>
        <v>9861118.630085448</v>
      </c>
      <c r="AP27" s="2"/>
      <c r="AQ27" s="6">
        <f>AQ5+AQ7+AQ8+AQ9+AQ16+AQ26</f>
        <v>10214273.343259845</v>
      </c>
      <c r="AR27" s="2"/>
      <c r="AS27" s="6">
        <f>AS5+AS7+AS8+AS9+AS16+AS26</f>
        <v>10589261.549572129</v>
      </c>
      <c r="AT27" s="2"/>
      <c r="AU27" s="6">
        <f>AU5+AU7+AU8+AU9+AU16+AU26</f>
        <v>10988010.674421255</v>
      </c>
      <c r="AV27" s="2"/>
      <c r="AW27" s="6">
        <f>AW5+AW7+AW8+AW9+AW16+AW26</f>
        <v>11412622.473908812</v>
      </c>
      <c r="AX27" s="32"/>
      <c r="AY27" s="6">
        <f>AY5+AY7+AY8+AY9+AY16+AY26</f>
        <v>16343884.520704402</v>
      </c>
      <c r="AZ27" s="2"/>
      <c r="BA27" s="6">
        <f>BA5+BA7+BA8+BA9+BA16+BA26</f>
        <v>16458295.1344796</v>
      </c>
      <c r="BB27" s="2"/>
      <c r="BC27" s="6">
        <f>BC5+BC7+BC8+BC9+BC16+BC26</f>
        <v>16572873.289763913</v>
      </c>
      <c r="BD27" s="2"/>
      <c r="BE27" s="6">
        <f>BE5+BE7+BE8+BE9+BE16+BE26</f>
        <v>16687601.130679853</v>
      </c>
      <c r="BF27" s="2"/>
      <c r="BG27" s="6">
        <f>BG5+BG7+BG8+BG9+BG16+BG26</f>
        <v>16802460.23216533</v>
      </c>
      <c r="BH27" s="2"/>
      <c r="BI27" s="6">
        <f>BI5+BI7+BI8+BI9+BI16+BI26</f>
        <v>0</v>
      </c>
      <c r="BJ27" s="2"/>
      <c r="BK27" s="6">
        <f>BK5+BK7+BK8+BK9+BK16+BK26</f>
        <v>0</v>
      </c>
      <c r="BL27" s="2"/>
      <c r="BM27" s="6">
        <f>BM5+BM7+BM8+BM9+BM16+BM26</f>
        <v>0</v>
      </c>
      <c r="BN27" s="2"/>
      <c r="BO27" s="6">
        <f>BO5+BO7+BO8+BO9+BO16+BO26</f>
        <v>0</v>
      </c>
      <c r="BP27" s="2"/>
      <c r="BQ27" s="6">
        <f>BQ5+BQ7+BQ8+BQ9+BQ16+BQ26</f>
        <v>0</v>
      </c>
      <c r="BR27" s="32"/>
      <c r="BS27" s="6">
        <f>BS5+BS7+BS8+BS9+BS16+BS26</f>
        <v>0</v>
      </c>
      <c r="BT27" s="2"/>
      <c r="BU27" s="6">
        <f>BU5+BU7+BU8+BU9+BU16+BU26</f>
        <v>0</v>
      </c>
      <c r="BV27" s="2"/>
      <c r="BW27" s="6">
        <f>BW5+BW7+BW8+BW9+BW16+BW26</f>
        <v>0</v>
      </c>
      <c r="BX27" s="2"/>
      <c r="BY27" s="6">
        <f>BY5+BY7+BY8+BY9+BY16+BY26</f>
        <v>0</v>
      </c>
      <c r="BZ27" s="2"/>
      <c r="CA27" s="6">
        <f>CA5+CA7+CA8+CA9+CA16+CA26</f>
        <v>0</v>
      </c>
      <c r="CB27" s="2"/>
      <c r="CC27" s="6">
        <f>CC5+CC7+CC8+CC9+CC16+CC26</f>
        <v>0</v>
      </c>
      <c r="CD27" s="2"/>
      <c r="CE27" s="6">
        <f>CE5+CE7+CE8+CE9+CE16+CE26</f>
        <v>0</v>
      </c>
      <c r="CF27" s="2"/>
      <c r="CG27" s="6">
        <f>CG5+CG7+CG8+CG9+CG16+CG26</f>
        <v>0</v>
      </c>
      <c r="CH27" s="2"/>
      <c r="CI27" s="6">
        <f>CI5+CI7+CI8+CI9+CI16+CI26</f>
        <v>0</v>
      </c>
      <c r="CJ27" s="2"/>
      <c r="CK27" s="6">
        <f>CK5+CK7+CK8+CK9+CK16+CK26</f>
        <v>0</v>
      </c>
      <c r="CL27" s="32"/>
      <c r="CM27" s="6">
        <f>CM5+CM7+CM8+CM9+CM16+CM26</f>
        <v>0</v>
      </c>
      <c r="CN27" s="2"/>
      <c r="CO27" s="6">
        <f>CO5+CO7+CO8+CO9+CO16+CO26</f>
        <v>0</v>
      </c>
      <c r="CP27" s="2"/>
      <c r="CQ27" s="6">
        <f>CQ5+CQ7+CQ8+CQ9+CQ16+CQ26</f>
        <v>0</v>
      </c>
      <c r="CR27" s="2"/>
      <c r="CS27" s="6">
        <f>CS5+CS7+CS8+CS9+CS16+CS26</f>
        <v>0</v>
      </c>
      <c r="CT27" s="2"/>
      <c r="CU27" s="6">
        <f>CU5+CU7+CU8+CU9+CU16+CU26</f>
        <v>0</v>
      </c>
      <c r="CV27" s="2"/>
      <c r="CW27" s="6">
        <f>CW5+CW7+CW8+CW9+CW16+CW26</f>
        <v>0</v>
      </c>
      <c r="CX27" s="2"/>
      <c r="CY27" s="6">
        <f>CY5+CY7+CY8+CY9+CY16+CY26</f>
        <v>0</v>
      </c>
      <c r="CZ27" s="2"/>
      <c r="DA27" s="6">
        <f>DA5+DA7+DA8+DA9+DA16+DA26</f>
        <v>0</v>
      </c>
      <c r="DB27" s="2"/>
      <c r="DC27" s="6">
        <f>DC5+DC7+DC8+DC9+DC16+DC26</f>
        <v>0</v>
      </c>
      <c r="DD27" s="2"/>
      <c r="DE27" s="6">
        <f>DE5+DE7+DE8+DE9+DE16+DE26</f>
        <v>0</v>
      </c>
      <c r="DF27" s="198"/>
      <c r="DG27" s="3"/>
      <c r="DH27" s="198"/>
    </row>
    <row r="28" spans="2:112" ht="12.75">
      <c r="B28" s="3"/>
      <c r="C28" s="2" t="s">
        <v>165</v>
      </c>
      <c r="D28" s="2"/>
      <c r="E28" s="2"/>
      <c r="F28" s="2"/>
      <c r="G28" s="150" t="str">
        <f>CONCATENATE("(",'Enter and Change Data Here'!$G$13,")")</f>
        <v>($US)</v>
      </c>
      <c r="H28" s="32"/>
      <c r="I28" s="6">
        <f>-(I$27*'Enter and Change Data Here'!$O$118/100+'Cash Flow'!I11)</f>
        <v>1200000</v>
      </c>
      <c r="J28" s="2"/>
      <c r="K28" s="6">
        <f>-(K$27*'Enter and Change Data Here'!$O$118/100+'Cash Flow'!K11)</f>
        <v>-1463940.5152542368</v>
      </c>
      <c r="L28" s="2"/>
      <c r="M28" s="6">
        <f>-(M$27*'Enter and Change Data Here'!$O$118/100+'Cash Flow'!M11)</f>
        <v>-2225226.560198799</v>
      </c>
      <c r="N28" s="2"/>
      <c r="O28" s="6">
        <f>-(O$27*'Enter and Change Data Here'!$O$118/100+'Cash Flow'!O11)</f>
        <v>-2648407.5095083737</v>
      </c>
      <c r="P28" s="2"/>
      <c r="Q28" s="6">
        <f>-(Q$27*'Enter and Change Data Here'!$O$118/100+'Cash Flow'!Q11)</f>
        <v>-2723265.226047808</v>
      </c>
      <c r="R28" s="2"/>
      <c r="S28" s="6">
        <f>-(S$27*'Enter and Change Data Here'!$O$118/100+'Cash Flow'!S11)</f>
        <v>-2801101.303608912</v>
      </c>
      <c r="T28" s="2"/>
      <c r="U28" s="6">
        <f>-(U$27*'Enter and Change Data Here'!$O$118/100+'Cash Flow'!U11)</f>
        <v>-2882165.351373606</v>
      </c>
      <c r="V28" s="2"/>
      <c r="W28" s="6">
        <f>-(W$27*'Enter and Change Data Here'!$O$118/100+'Cash Flow'!W11)</f>
        <v>-2966729.6418175804</v>
      </c>
      <c r="X28" s="2"/>
      <c r="Y28" s="6">
        <f>-(Y$27*'Enter and Change Data Here'!$O$118/100+'Cash Flow'!Y11)</f>
        <v>-3055091.160049402</v>
      </c>
      <c r="Z28" s="2"/>
      <c r="AA28" s="6">
        <f>-(AA$27*'Enter and Change Data Here'!$O$118/100+'Cash Flow'!AA11)</f>
        <v>-139454.0880734846</v>
      </c>
      <c r="AB28" s="2"/>
      <c r="AC28" s="6">
        <f>-(AC$27*'Enter and Change Data Here'!$O$118/100+'Cash Flow'!AC11)</f>
        <v>1791398.305084745</v>
      </c>
      <c r="AD28" s="32"/>
      <c r="AE28" s="6">
        <f>-(AE$27*'Enter and Change Data Here'!$O$118/100+'Cash Flow'!AE11)</f>
        <v>1791398.3050847463</v>
      </c>
      <c r="AF28" s="2"/>
      <c r="AG28" s="6">
        <f>-(AG$27*'Enter and Change Data Here'!$O$118/100+'Cash Flow'!AG11)</f>
        <v>1791398.3050847454</v>
      </c>
      <c r="AH28" s="2"/>
      <c r="AI28" s="6">
        <f>-(AI$27*'Enter and Change Data Here'!$O$118/100+'Cash Flow'!AI11)</f>
        <v>1791398.3050847459</v>
      </c>
      <c r="AJ28" s="2"/>
      <c r="AK28" s="6">
        <f>-(AK$27*'Enter and Change Data Here'!$O$118/100+'Cash Flow'!AK11)</f>
        <v>1791398.3050847454</v>
      </c>
      <c r="AL28" s="2"/>
      <c r="AM28" s="6">
        <f>-(AM$27*'Enter and Change Data Here'!$O$118/100+'Cash Flow'!AM11)</f>
        <v>1791398.305084745</v>
      </c>
      <c r="AN28" s="2"/>
      <c r="AO28" s="6">
        <f>-(AO$27*'Enter and Change Data Here'!$O$118/100+'Cash Flow'!AO11)</f>
        <v>1791398.3050847454</v>
      </c>
      <c r="AP28" s="2"/>
      <c r="AQ28" s="6">
        <f>-(AQ$27*'Enter and Change Data Here'!$O$118/100+'Cash Flow'!AQ11)</f>
        <v>1791398.3050847459</v>
      </c>
      <c r="AR28" s="2"/>
      <c r="AS28" s="6">
        <f>-(AS$27*'Enter and Change Data Here'!$O$118/100+'Cash Flow'!AS11)</f>
        <v>1791398.3050847463</v>
      </c>
      <c r="AT28" s="2"/>
      <c r="AU28" s="6">
        <f>-(AU$27*'Enter and Change Data Here'!$O$118/100+'Cash Flow'!AU11)</f>
        <v>1791398.3050847454</v>
      </c>
      <c r="AV28" s="2"/>
      <c r="AW28" s="6">
        <f>-(AW$27*'Enter and Change Data Here'!$O$118/100+'Cash Flow'!AW11)</f>
        <v>1791398.3050847463</v>
      </c>
      <c r="AX28" s="32"/>
      <c r="AY28" s="6">
        <f>-(AY$27*'Enter and Change Data Here'!$O$118/100+'Cash Flow'!AY11)</f>
        <v>0</v>
      </c>
      <c r="AZ28" s="2"/>
      <c r="BA28" s="6">
        <f>-(BA$27*'Enter and Change Data Here'!$O$118/100+'Cash Flow'!BA11)</f>
        <v>0</v>
      </c>
      <c r="BB28" s="2"/>
      <c r="BC28" s="6">
        <f>-(BC$27*'Enter and Change Data Here'!$O$118/100+'Cash Flow'!BC11)</f>
        <v>0</v>
      </c>
      <c r="BD28" s="2"/>
      <c r="BE28" s="6">
        <f>-(BE$27*'Enter and Change Data Here'!$O$118/100+'Cash Flow'!BE11)</f>
        <v>0</v>
      </c>
      <c r="BF28" s="2"/>
      <c r="BG28" s="6">
        <f>-(BG$27*'Enter and Change Data Here'!$O$118/100+'Cash Flow'!BG11)</f>
        <v>0</v>
      </c>
      <c r="BH28" s="2"/>
      <c r="BI28" s="6">
        <f>-(BI$27*'Enter and Change Data Here'!$O$118/100+'Cash Flow'!BI11)</f>
        <v>0</v>
      </c>
      <c r="BJ28" s="2"/>
      <c r="BK28" s="6">
        <f>-(BK$27*'Enter and Change Data Here'!$O$118/100+'Cash Flow'!BK11)</f>
        <v>0</v>
      </c>
      <c r="BL28" s="2"/>
      <c r="BM28" s="6">
        <f>-(BM$27*'Enter and Change Data Here'!$O$118/100+'Cash Flow'!BM11)</f>
        <v>0</v>
      </c>
      <c r="BN28" s="2"/>
      <c r="BO28" s="6">
        <f>-(BO$27*'Enter and Change Data Here'!$O$118/100+'Cash Flow'!BO11)</f>
        <v>0</v>
      </c>
      <c r="BP28" s="2"/>
      <c r="BQ28" s="6">
        <f>-(BQ$27*'Enter and Change Data Here'!$O$118/100+'Cash Flow'!BQ11)</f>
        <v>0</v>
      </c>
      <c r="BR28" s="32"/>
      <c r="BS28" s="6">
        <f>-(BS$27*'Enter and Change Data Here'!$O$118/100+'Cash Flow'!BS11)</f>
        <v>0</v>
      </c>
      <c r="BT28" s="2"/>
      <c r="BU28" s="6">
        <f>-(BU$27*'Enter and Change Data Here'!$O$118/100+'Cash Flow'!BU11)</f>
        <v>0</v>
      </c>
      <c r="BV28" s="2"/>
      <c r="BW28" s="6">
        <f>-(BW$27*'Enter and Change Data Here'!$O$118/100+'Cash Flow'!BW11)</f>
        <v>0</v>
      </c>
      <c r="BX28" s="2"/>
      <c r="BY28" s="6">
        <f>-(BY$27*'Enter and Change Data Here'!$O$118/100+'Cash Flow'!BY11)</f>
        <v>0</v>
      </c>
      <c r="BZ28" s="2"/>
      <c r="CA28" s="6">
        <f>-(CA$27*'Enter and Change Data Here'!$O$118/100+'Cash Flow'!CA11)</f>
        <v>0</v>
      </c>
      <c r="CB28" s="2"/>
      <c r="CC28" s="6">
        <f>-(CC$27*'Enter and Change Data Here'!$O$118/100+'Cash Flow'!CC11)</f>
        <v>0</v>
      </c>
      <c r="CD28" s="2"/>
      <c r="CE28" s="6">
        <f>-(CE$27*'Enter and Change Data Here'!$O$118/100+'Cash Flow'!CE11)</f>
        <v>0</v>
      </c>
      <c r="CF28" s="2"/>
      <c r="CG28" s="6">
        <f>-(CG$27*'Enter and Change Data Here'!$O$118/100+'Cash Flow'!CG11)</f>
        <v>0</v>
      </c>
      <c r="CH28" s="2"/>
      <c r="CI28" s="6">
        <f>-(CI$27*'Enter and Change Data Here'!$O$118/100+'Cash Flow'!CI11)</f>
        <v>0</v>
      </c>
      <c r="CJ28" s="2"/>
      <c r="CK28" s="6">
        <f>-(CK$27*'Enter and Change Data Here'!$O$118/100+'Cash Flow'!CK11)</f>
        <v>0</v>
      </c>
      <c r="CL28" s="32"/>
      <c r="CM28" s="6">
        <f>-(CM$27*'Enter and Change Data Here'!$O$118/100+'Cash Flow'!CM11)</f>
        <v>0</v>
      </c>
      <c r="CN28" s="2"/>
      <c r="CO28" s="6">
        <f>-(CO$27*'Enter and Change Data Here'!$O$118/100+'Cash Flow'!CO11)</f>
        <v>0</v>
      </c>
      <c r="CP28" s="2"/>
      <c r="CQ28" s="6">
        <f>-(CQ$27*'Enter and Change Data Here'!$O$118/100+'Cash Flow'!CQ11)</f>
        <v>0</v>
      </c>
      <c r="CR28" s="2"/>
      <c r="CS28" s="6">
        <f>-(CS$27*'Enter and Change Data Here'!$O$118/100+'Cash Flow'!CS11)</f>
        <v>0</v>
      </c>
      <c r="CT28" s="2"/>
      <c r="CU28" s="6">
        <f>-(CU$27*'Enter and Change Data Here'!$O$118/100+'Cash Flow'!CU11)</f>
        <v>0</v>
      </c>
      <c r="CV28" s="2"/>
      <c r="CW28" s="6">
        <f>-(CW$27*'Enter and Change Data Here'!$O$118/100+'Cash Flow'!CW11)</f>
        <v>0</v>
      </c>
      <c r="CX28" s="2"/>
      <c r="CY28" s="6">
        <f>-(CY$27*'Enter and Change Data Here'!$O$118/100+'Cash Flow'!CY11)</f>
        <v>0</v>
      </c>
      <c r="CZ28" s="2"/>
      <c r="DA28" s="6">
        <f>-(DA$27*'Enter and Change Data Here'!$O$118/100+'Cash Flow'!DA11)</f>
        <v>0</v>
      </c>
      <c r="DB28" s="2"/>
      <c r="DC28" s="6">
        <f>-(DC$27*'Enter and Change Data Here'!$O$118/100+'Cash Flow'!DC11)</f>
        <v>0</v>
      </c>
      <c r="DD28" s="2"/>
      <c r="DE28" s="6">
        <f>-(DE$27*'Enter and Change Data Here'!$O$118/100+'Cash Flow'!DE11)</f>
        <v>0</v>
      </c>
      <c r="DF28" s="198"/>
      <c r="DG28" s="3"/>
      <c r="DH28" s="198"/>
    </row>
    <row r="29" spans="2:112" ht="12.75">
      <c r="B29" s="3"/>
      <c r="C29" s="2" t="s">
        <v>168</v>
      </c>
      <c r="D29" s="2"/>
      <c r="E29" s="2"/>
      <c r="F29" s="2"/>
      <c r="G29" s="150" t="str">
        <f>CONCATENATE("(",'Enter and Change Data Here'!$G$13,")")</f>
        <v>($US)</v>
      </c>
      <c r="H29" s="32"/>
      <c r="I29" s="6">
        <f>IF('Enter and Change Data Here'!$O$119="N",IF(I17+H29&lt;=0,I17+H29,0),0)</f>
        <v>-3000000</v>
      </c>
      <c r="J29" s="2"/>
      <c r="K29" s="6">
        <f>IF('Enter and Change Data Here'!$O$119="N",IF(K17+I29&lt;=0,K17+I29,0),0)</f>
        <v>-17254131.762711864</v>
      </c>
      <c r="L29" s="2"/>
      <c r="M29" s="6">
        <f>IF('Enter and Change Data Here'!$O$119="N",IF(M17+K29&lt;=0,M17+K29,0),0)</f>
        <v>-51997527.22662164</v>
      </c>
      <c r="N29" s="2"/>
      <c r="O29" s="6">
        <f>IF('Enter and Change Data Here'!$O$119="N",IF(O17+M29&lt;=0,O17+M29,0),0)</f>
        <v>-63290491.50369816</v>
      </c>
      <c r="P29" s="2"/>
      <c r="Q29" s="6">
        <f>IF('Enter and Change Data Here'!$O$119="N",IF(Q17+O29&lt;=0,Q17+O29,0),0)</f>
        <v>-52003832.67586678</v>
      </c>
      <c r="R29" s="2"/>
      <c r="S29" s="6">
        <f>IF('Enter and Change Data Here'!$O$119="N",IF(S17+Q29&lt;=0,S17+Q29,0),0)</f>
        <v>-40522583.654132634</v>
      </c>
      <c r="T29" s="2"/>
      <c r="U29" s="6">
        <f>IF('Enter and Change Data Here'!$O$119="N",IF(U17+S29&lt;=0,U17+S29,0),0)</f>
        <v>-28838674.512986757</v>
      </c>
      <c r="V29" s="2"/>
      <c r="W29" s="6">
        <f>IF('Enter and Change Data Here'!$O$119="N",IF(W17+U29&lt;=0,W17+U29,0),0)</f>
        <v>-16943354.645730942</v>
      </c>
      <c r="X29" s="2"/>
      <c r="Y29" s="6">
        <f>IF('Enter and Change Data Here'!$O$119="N",IF(Y17+W29&lt;=0,Y17+W29,0),0)</f>
        <v>-4827130.982895574</v>
      </c>
      <c r="Z29" s="2"/>
      <c r="AA29" s="6">
        <f>IF('Enter and Change Data Here'!$O$119="N",IF(AA17+Y29&lt;=0,AA17+Y29,0),0)</f>
        <v>0</v>
      </c>
      <c r="AB29" s="2"/>
      <c r="AC29" s="6">
        <f>IF('Enter and Change Data Here'!$O$119="N",IF(AC17+AA29&lt;=0,AC17+AA29,0),0)</f>
        <v>0</v>
      </c>
      <c r="AD29" s="32"/>
      <c r="AE29" s="6">
        <f>IF('Enter and Change Data Here'!$O$119="N",IF(AE17+AC29&lt;=0,AE17+AC29,0),0)</f>
        <v>0</v>
      </c>
      <c r="AF29" s="2"/>
      <c r="AG29" s="6">
        <f>IF('Enter and Change Data Here'!$O$119="N",IF(AG17+AE29&lt;=0,AG17+AE29,0),0)</f>
        <v>0</v>
      </c>
      <c r="AH29" s="2"/>
      <c r="AI29" s="6">
        <f>IF('Enter and Change Data Here'!$O$119="N",IF(AI17+AG29&lt;=0,AI17+AG29,0),0)</f>
        <v>0</v>
      </c>
      <c r="AJ29" s="2"/>
      <c r="AK29" s="6">
        <f>IF('Enter and Change Data Here'!$O$119="N",IF(AK17+AI29&lt;=0,AK17+AI29,0),0)</f>
        <v>0</v>
      </c>
      <c r="AL29" s="2"/>
      <c r="AM29" s="6">
        <f>IF('Enter and Change Data Here'!$O$119="N",IF(AM17+AK29&lt;=0,AM17+AK29,0),0)</f>
        <v>0</v>
      </c>
      <c r="AN29" s="2"/>
      <c r="AO29" s="6">
        <f>IF('Enter and Change Data Here'!$O$119="N",IF(AO17+AM29&lt;=0,AO17+AM29,0),0)</f>
        <v>0</v>
      </c>
      <c r="AP29" s="2"/>
      <c r="AQ29" s="6">
        <f>IF('Enter and Change Data Here'!$O$119="N",IF(AQ17+AO29&lt;=0,AQ17+AO29,0),0)</f>
        <v>0</v>
      </c>
      <c r="AR29" s="2"/>
      <c r="AS29" s="6">
        <f>IF('Enter and Change Data Here'!$O$119="N",IF(AS17+AQ29&lt;=0,AS17+AQ29,0),0)</f>
        <v>0</v>
      </c>
      <c r="AT29" s="2"/>
      <c r="AU29" s="6">
        <f>IF('Enter and Change Data Here'!$O$119="N",IF(AU17+AS29&lt;=0,AU17+AS29,0),0)</f>
        <v>0</v>
      </c>
      <c r="AV29" s="2"/>
      <c r="AW29" s="6">
        <f>IF('Enter and Change Data Here'!$O$119="N",IF(AW17+AU29&lt;=0,AW17+AU29,0),0)</f>
        <v>0</v>
      </c>
      <c r="AX29" s="32"/>
      <c r="AY29" s="6">
        <f>IF('Enter and Change Data Here'!$O$119="N",IF(AY17+AW29&lt;=0,AY17+AW29,0),0)</f>
        <v>0</v>
      </c>
      <c r="AZ29" s="2"/>
      <c r="BA29" s="6">
        <f>IF('Enter and Change Data Here'!$O$119="N",IF(BA17+AY29&lt;=0,BA17+AY29,0),0)</f>
        <v>0</v>
      </c>
      <c r="BB29" s="2"/>
      <c r="BC29" s="6">
        <f>IF('Enter and Change Data Here'!$O$119="N",IF(BC17+BA29&lt;=0,BC17+BA29,0),0)</f>
        <v>0</v>
      </c>
      <c r="BD29" s="2"/>
      <c r="BE29" s="6">
        <f>IF('Enter and Change Data Here'!$O$119="N",IF(BE17+BC29&lt;=0,BE17+BC29,0),0)</f>
        <v>0</v>
      </c>
      <c r="BF29" s="2"/>
      <c r="BG29" s="6">
        <f>IF('Enter and Change Data Here'!$O$119="N",IF(BG17+BE29&lt;=0,BG17+BE29,0),0)</f>
        <v>0</v>
      </c>
      <c r="BH29" s="2"/>
      <c r="BI29" s="6">
        <f>IF('Enter and Change Data Here'!$O$119="N",IF(BI17+BG29&lt;=0,BI17+BG29,0),0)</f>
        <v>0</v>
      </c>
      <c r="BJ29" s="2"/>
      <c r="BK29" s="6">
        <f>IF('Enter and Change Data Here'!$O$119="N",IF(BK17+BI29&lt;=0,BK17+BI29,0),0)</f>
        <v>0</v>
      </c>
      <c r="BL29" s="2"/>
      <c r="BM29" s="6">
        <f>IF('Enter and Change Data Here'!$O$119="N",IF(BM17+BK29&lt;=0,BM17+BK29,0),0)</f>
        <v>0</v>
      </c>
      <c r="BN29" s="2"/>
      <c r="BO29" s="6">
        <f>IF('Enter and Change Data Here'!$O$119="N",IF(BO17+BM29&lt;=0,BO17+BM29,0),0)</f>
        <v>0</v>
      </c>
      <c r="BP29" s="2"/>
      <c r="BQ29" s="6">
        <f>IF('Enter and Change Data Here'!$O$119="N",IF(BQ17+BO29&lt;=0,BQ17+BO29,0),0)</f>
        <v>0</v>
      </c>
      <c r="BR29" s="32"/>
      <c r="BS29" s="6">
        <f>IF('Enter and Change Data Here'!$O$119="N",IF(BS17+BQ29&lt;=0,BS17+BQ29,0),0)</f>
        <v>0</v>
      </c>
      <c r="BT29" s="2"/>
      <c r="BU29" s="6">
        <f>IF('Enter and Change Data Here'!$O$119="N",IF(BU17+BS29&lt;=0,BU17+BS29,0),0)</f>
        <v>0</v>
      </c>
      <c r="BV29" s="2"/>
      <c r="BW29" s="6">
        <f>IF('Enter and Change Data Here'!$O$119="N",IF(BW17+BU29&lt;=0,BW17+BU29,0),0)</f>
        <v>0</v>
      </c>
      <c r="BX29" s="2"/>
      <c r="BY29" s="6">
        <f>IF('Enter and Change Data Here'!$O$119="N",IF(BY17+BW29&lt;=0,BY17+BW29,0),0)</f>
        <v>0</v>
      </c>
      <c r="BZ29" s="2"/>
      <c r="CA29" s="6">
        <f>IF('Enter and Change Data Here'!$O$119="N",IF(CA17+BY29&lt;=0,CA17+BY29,0),0)</f>
        <v>0</v>
      </c>
      <c r="CB29" s="2"/>
      <c r="CC29" s="6">
        <f>IF('Enter and Change Data Here'!$O$119="N",IF(CC17+CA29&lt;=0,CC17+CA29,0),0)</f>
        <v>0</v>
      </c>
      <c r="CD29" s="2"/>
      <c r="CE29" s="6">
        <f>IF('Enter and Change Data Here'!$O$119="N",IF(CE17+CC29&lt;=0,CE17+CC29,0),0)</f>
        <v>0</v>
      </c>
      <c r="CF29" s="2"/>
      <c r="CG29" s="6">
        <f>IF('Enter and Change Data Here'!$O$119="N",IF(CG17+CE29&lt;=0,CG17+CE29,0),0)</f>
        <v>0</v>
      </c>
      <c r="CH29" s="2"/>
      <c r="CI29" s="6">
        <f>IF('Enter and Change Data Here'!$O$119="N",IF(CI17+CG29&lt;=0,CI17+CG29,0),0)</f>
        <v>0</v>
      </c>
      <c r="CJ29" s="2"/>
      <c r="CK29" s="6">
        <f>IF('Enter and Change Data Here'!$O$119="N",IF(CK17+CI29&lt;=0,CK17+CI29,0),0)</f>
        <v>0</v>
      </c>
      <c r="CL29" s="32"/>
      <c r="CM29" s="6">
        <f>IF('Enter and Change Data Here'!$O$119="N",IF(CM17+CK29&lt;=0,CM17+CK29,0),0)</f>
        <v>0</v>
      </c>
      <c r="CN29" s="2"/>
      <c r="CO29" s="6">
        <f>IF('Enter and Change Data Here'!$O$119="N",IF(CO17+CM29&lt;=0,CO17+CM29,0),0)</f>
        <v>0</v>
      </c>
      <c r="CP29" s="2"/>
      <c r="CQ29" s="6">
        <f>IF('Enter and Change Data Here'!$O$119="N",IF(CQ17+CO29&lt;=0,CQ17+CO29,0),0)</f>
        <v>0</v>
      </c>
      <c r="CR29" s="2"/>
      <c r="CS29" s="6">
        <f>IF('Enter and Change Data Here'!$O$119="N",IF(CS17+CQ29&lt;=0,CS17+CQ29,0),0)</f>
        <v>0</v>
      </c>
      <c r="CT29" s="2"/>
      <c r="CU29" s="6">
        <f>IF('Enter and Change Data Here'!$O$119="N",IF(CU17+CS29&lt;=0,CU17+CS29,0),0)</f>
        <v>0</v>
      </c>
      <c r="CV29" s="2"/>
      <c r="CW29" s="6">
        <f>IF('Enter and Change Data Here'!$O$119="N",IF(CW17+CU17&lt;=0,CW17+CU17,0),0)</f>
        <v>0</v>
      </c>
      <c r="CX29" s="2"/>
      <c r="CY29" s="6">
        <f>IF('Enter and Change Data Here'!$O$119="N",IF(CY17+CW17&lt;=0,CY17+CW17,0),0)</f>
        <v>0</v>
      </c>
      <c r="CZ29" s="2"/>
      <c r="DA29" s="6">
        <f>IF('Enter and Change Data Here'!$O$119="N",IF(DA17+CY17&lt;=0,DA17+CY17,0),0)</f>
        <v>0</v>
      </c>
      <c r="DB29" s="2"/>
      <c r="DC29" s="6">
        <f>IF('Enter and Change Data Here'!$O$119="N",IF(DC17+DA17&lt;=0,DC17+DA17,0),0)</f>
        <v>0</v>
      </c>
      <c r="DD29" s="2"/>
      <c r="DE29" s="6">
        <f>IF('Enter and Change Data Here'!$O$119="N",IF(DE17+DC17&lt;=0,DE17+DC17,0),0)</f>
        <v>0</v>
      </c>
      <c r="DF29" s="198"/>
      <c r="DG29" s="3"/>
      <c r="DH29" s="198"/>
    </row>
    <row r="30" spans="2:112" ht="12.75">
      <c r="B30" s="3"/>
      <c r="C30" s="2"/>
      <c r="D30" s="2"/>
      <c r="E30" s="2"/>
      <c r="F30" s="2"/>
      <c r="G30" s="150"/>
      <c r="H30" s="32"/>
      <c r="I30" s="6"/>
      <c r="J30" s="2"/>
      <c r="K30" s="6"/>
      <c r="L30" s="2"/>
      <c r="M30" s="6"/>
      <c r="N30" s="2"/>
      <c r="O30" s="6"/>
      <c r="P30" s="2"/>
      <c r="Q30" s="6"/>
      <c r="R30" s="2"/>
      <c r="S30" s="6"/>
      <c r="T30" s="2"/>
      <c r="U30" s="6"/>
      <c r="V30" s="2"/>
      <c r="W30" s="6"/>
      <c r="X30" s="2"/>
      <c r="Y30" s="6"/>
      <c r="Z30" s="2"/>
      <c r="AA30" s="6"/>
      <c r="AB30" s="2"/>
      <c r="AC30" s="6"/>
      <c r="AD30" s="32"/>
      <c r="AE30" s="6"/>
      <c r="AF30" s="2"/>
      <c r="AG30" s="6"/>
      <c r="AH30" s="2"/>
      <c r="AI30" s="6"/>
      <c r="AJ30" s="2"/>
      <c r="AK30" s="6"/>
      <c r="AL30" s="2"/>
      <c r="AM30" s="6"/>
      <c r="AN30" s="2"/>
      <c r="AO30" s="6"/>
      <c r="AP30" s="2"/>
      <c r="AQ30" s="6"/>
      <c r="AR30" s="2"/>
      <c r="AS30" s="6"/>
      <c r="AT30" s="2"/>
      <c r="AU30" s="6"/>
      <c r="AV30" s="2"/>
      <c r="AW30" s="6"/>
      <c r="AX30" s="32"/>
      <c r="AY30" s="6"/>
      <c r="AZ30" s="2"/>
      <c r="BA30" s="6"/>
      <c r="BB30" s="2"/>
      <c r="BC30" s="6"/>
      <c r="BD30" s="2"/>
      <c r="BE30" s="6"/>
      <c r="BF30" s="2"/>
      <c r="BG30" s="6"/>
      <c r="BH30" s="2"/>
      <c r="BI30" s="6"/>
      <c r="BJ30" s="2"/>
      <c r="BK30" s="6"/>
      <c r="BL30" s="2"/>
      <c r="BM30" s="6"/>
      <c r="BN30" s="2"/>
      <c r="BO30" s="6"/>
      <c r="BP30" s="2"/>
      <c r="BQ30" s="6"/>
      <c r="BR30" s="32"/>
      <c r="BS30" s="6"/>
      <c r="BT30" s="2"/>
      <c r="BU30" s="6"/>
      <c r="BV30" s="2"/>
      <c r="BW30" s="6"/>
      <c r="BX30" s="2"/>
      <c r="BY30" s="6"/>
      <c r="BZ30" s="2"/>
      <c r="CA30" s="6"/>
      <c r="CB30" s="2"/>
      <c r="CC30" s="6"/>
      <c r="CD30" s="2"/>
      <c r="CE30" s="6"/>
      <c r="CF30" s="2"/>
      <c r="CG30" s="6"/>
      <c r="CH30" s="2"/>
      <c r="CI30" s="6"/>
      <c r="CJ30" s="2"/>
      <c r="CK30" s="6"/>
      <c r="CL30" s="32"/>
      <c r="CM30" s="6"/>
      <c r="CN30" s="2"/>
      <c r="CO30" s="6"/>
      <c r="CP30" s="2"/>
      <c r="CQ30" s="6"/>
      <c r="CR30" s="2"/>
      <c r="CS30" s="6"/>
      <c r="CT30" s="2"/>
      <c r="CU30" s="6"/>
      <c r="CV30" s="2"/>
      <c r="CW30" s="6"/>
      <c r="CX30" s="2"/>
      <c r="CY30" s="6"/>
      <c r="CZ30" s="2"/>
      <c r="DA30" s="6"/>
      <c r="DB30" s="2"/>
      <c r="DC30" s="6"/>
      <c r="DD30" s="2"/>
      <c r="DE30" s="6"/>
      <c r="DF30" s="198"/>
      <c r="DG30" s="3"/>
      <c r="DH30" s="198"/>
    </row>
    <row r="31" spans="2:112" ht="12.75">
      <c r="B31" s="3"/>
      <c r="C31" s="2" t="s">
        <v>169</v>
      </c>
      <c r="D31" s="2"/>
      <c r="E31" s="2"/>
      <c r="F31" s="2"/>
      <c r="G31" s="150" t="str">
        <f>CONCATENATE("(",'Enter and Change Data Here'!$G$13,")")</f>
        <v>($US)</v>
      </c>
      <c r="H31" s="32"/>
      <c r="I31" s="152">
        <f>-1*I11*'Enter and Change Data Here'!G140/100</f>
        <v>0</v>
      </c>
      <c r="J31" s="2"/>
      <c r="K31" s="6">
        <f>-'Enter and Change Data Here'!$G$140/100*'Cash Flow'!K19</f>
        <v>0</v>
      </c>
      <c r="L31" s="2"/>
      <c r="M31" s="6">
        <f>-'Enter and Change Data Here'!$G$140/100*'Cash Flow'!M19</f>
        <v>0</v>
      </c>
      <c r="N31" s="2"/>
      <c r="O31" s="6">
        <f>-'Enter and Change Data Here'!$G$140/100*'Cash Flow'!O19</f>
        <v>0</v>
      </c>
      <c r="P31" s="2"/>
      <c r="Q31" s="6">
        <f>-'Enter and Change Data Here'!$G$140/100*'Cash Flow'!Q19</f>
        <v>0</v>
      </c>
      <c r="R31" s="2"/>
      <c r="S31" s="6">
        <f>-'Enter and Change Data Here'!$G$140/100*'Cash Flow'!S19</f>
        <v>0</v>
      </c>
      <c r="T31" s="2"/>
      <c r="U31" s="6">
        <f>-'Enter and Change Data Here'!$G$140/100*'Cash Flow'!U19</f>
        <v>0</v>
      </c>
      <c r="V31" s="2"/>
      <c r="W31" s="6">
        <f>-'Enter and Change Data Here'!$G$140/100*'Cash Flow'!W19</f>
        <v>0</v>
      </c>
      <c r="X31" s="2"/>
      <c r="Y31" s="6">
        <f>-'Enter and Change Data Here'!$G$140/100*'Cash Flow'!Y19</f>
        <v>0</v>
      </c>
      <c r="Z31" s="2"/>
      <c r="AA31" s="6">
        <f>-'Enter and Change Data Here'!$G$140/100*'Cash Flow'!AA19</f>
        <v>0</v>
      </c>
      <c r="AB31" s="2"/>
      <c r="AC31" s="6">
        <f>-'Enter and Change Data Here'!$G$140/100*'Cash Flow'!AC19</f>
        <v>0</v>
      </c>
      <c r="AD31" s="32"/>
      <c r="AE31" s="6">
        <f>-'Enter and Change Data Here'!$G$140/100*'Cash Flow'!AE19</f>
        <v>0</v>
      </c>
      <c r="AF31" s="2"/>
      <c r="AG31" s="6">
        <f>-'Enter and Change Data Here'!$G$140/100*'Cash Flow'!AG19</f>
        <v>0</v>
      </c>
      <c r="AH31" s="2"/>
      <c r="AI31" s="6">
        <f>-'Enter and Change Data Here'!$G$140/100*'Cash Flow'!AI19</f>
        <v>0</v>
      </c>
      <c r="AJ31" s="2"/>
      <c r="AK31" s="6">
        <f>-'Enter and Change Data Here'!$G$140/100*'Cash Flow'!AK19</f>
        <v>0</v>
      </c>
      <c r="AL31" s="2"/>
      <c r="AM31" s="6">
        <f>-'Enter and Change Data Here'!$G$140/100*'Cash Flow'!AM19</f>
        <v>0</v>
      </c>
      <c r="AN31" s="2"/>
      <c r="AO31" s="6">
        <f>-'Enter and Change Data Here'!$G$140/100*'Cash Flow'!AO19</f>
        <v>0</v>
      </c>
      <c r="AP31" s="2"/>
      <c r="AQ31" s="6">
        <f>-'Enter and Change Data Here'!$G$140/100*'Cash Flow'!AQ19</f>
        <v>0</v>
      </c>
      <c r="AR31" s="2"/>
      <c r="AS31" s="6">
        <f>-'Enter and Change Data Here'!$G$140/100*'Cash Flow'!AS19</f>
        <v>0</v>
      </c>
      <c r="AT31" s="2"/>
      <c r="AU31" s="6">
        <f>-'Enter and Change Data Here'!$G$140/100*'Cash Flow'!AU19</f>
        <v>0</v>
      </c>
      <c r="AV31" s="2"/>
      <c r="AW31" s="6">
        <f>-'Enter and Change Data Here'!$G$140/100*'Cash Flow'!AW19</f>
        <v>0</v>
      </c>
      <c r="AX31" s="32"/>
      <c r="AY31" s="6">
        <f>-'Enter and Change Data Here'!$G$140/100*'Cash Flow'!AY19</f>
        <v>0</v>
      </c>
      <c r="AZ31" s="2"/>
      <c r="BA31" s="6">
        <f>-'Enter and Change Data Here'!$G$140/100*'Cash Flow'!BA19</f>
        <v>0</v>
      </c>
      <c r="BB31" s="2"/>
      <c r="BC31" s="6">
        <f>-'Enter and Change Data Here'!$G$140/100*'Cash Flow'!BC19</f>
        <v>0</v>
      </c>
      <c r="BD31" s="2"/>
      <c r="BE31" s="6">
        <f>-'Enter and Change Data Here'!$G$140/100*'Cash Flow'!BE19</f>
        <v>0</v>
      </c>
      <c r="BF31" s="2"/>
      <c r="BG31" s="6">
        <f>-'Enter and Change Data Here'!$G$140/100*'Cash Flow'!BG19</f>
        <v>0</v>
      </c>
      <c r="BH31" s="2"/>
      <c r="BI31" s="6">
        <f>-'Enter and Change Data Here'!$G$140/100*'Cash Flow'!BI19</f>
        <v>0</v>
      </c>
      <c r="BJ31" s="2"/>
      <c r="BK31" s="6">
        <f>-'Enter and Change Data Here'!$G$140/100*'Cash Flow'!BK19</f>
        <v>0</v>
      </c>
      <c r="BL31" s="2"/>
      <c r="BM31" s="6">
        <f>-'Enter and Change Data Here'!$G$140/100*'Cash Flow'!BM19</f>
        <v>0</v>
      </c>
      <c r="BN31" s="2"/>
      <c r="BO31" s="6">
        <f>-'Enter and Change Data Here'!$G$140/100*'Cash Flow'!BO19</f>
        <v>0</v>
      </c>
      <c r="BP31" s="2"/>
      <c r="BQ31" s="6">
        <f>-'Enter and Change Data Here'!$G$140/100*'Cash Flow'!BQ19</f>
        <v>0</v>
      </c>
      <c r="BR31" s="32"/>
      <c r="BS31" s="6">
        <f>-'Enter and Change Data Here'!$G$140/100*'Cash Flow'!BS19</f>
        <v>0</v>
      </c>
      <c r="BT31" s="2"/>
      <c r="BU31" s="6">
        <f>-'Enter and Change Data Here'!$G$140/100*'Cash Flow'!BU19</f>
        <v>0</v>
      </c>
      <c r="BV31" s="2"/>
      <c r="BW31" s="6">
        <f>-'Enter and Change Data Here'!$G$140/100*'Cash Flow'!BW19</f>
        <v>0</v>
      </c>
      <c r="BX31" s="2"/>
      <c r="BY31" s="6">
        <f>-'Enter and Change Data Here'!$G$140/100*'Cash Flow'!BY19</f>
        <v>0</v>
      </c>
      <c r="BZ31" s="2"/>
      <c r="CA31" s="6">
        <f>-'Enter and Change Data Here'!$G$140/100*'Cash Flow'!CA19</f>
        <v>0</v>
      </c>
      <c r="CB31" s="2"/>
      <c r="CC31" s="6">
        <f>-'Enter and Change Data Here'!$G$140/100*'Cash Flow'!CC19</f>
        <v>0</v>
      </c>
      <c r="CD31" s="2"/>
      <c r="CE31" s="6">
        <f>-'Enter and Change Data Here'!$G$140/100*'Cash Flow'!CE19</f>
        <v>0</v>
      </c>
      <c r="CF31" s="2"/>
      <c r="CG31" s="6">
        <f>-'Enter and Change Data Here'!$G$140/100*'Cash Flow'!CG19</f>
        <v>0</v>
      </c>
      <c r="CH31" s="2"/>
      <c r="CI31" s="6">
        <f>-'Enter and Change Data Here'!$G$140/100*'Cash Flow'!CI19</f>
        <v>0</v>
      </c>
      <c r="CJ31" s="2"/>
      <c r="CK31" s="6">
        <f>-'Enter and Change Data Here'!$G$140/100*'Cash Flow'!CK19</f>
        <v>0</v>
      </c>
      <c r="CL31" s="32"/>
      <c r="CM31" s="6">
        <f>-'Enter and Change Data Here'!$G$140/100*'Cash Flow'!CM19</f>
        <v>0</v>
      </c>
      <c r="CN31" s="2"/>
      <c r="CO31" s="6">
        <f>-'Enter and Change Data Here'!$G$140/100*'Cash Flow'!CO19</f>
        <v>0</v>
      </c>
      <c r="CP31" s="2"/>
      <c r="CQ31" s="6">
        <f>-'Enter and Change Data Here'!$G$140/100*'Cash Flow'!CQ19</f>
        <v>0</v>
      </c>
      <c r="CR31" s="2"/>
      <c r="CS31" s="6">
        <f>-'Enter and Change Data Here'!$G$140/100*'Cash Flow'!CS19</f>
        <v>0</v>
      </c>
      <c r="CT31" s="2"/>
      <c r="CU31" s="6">
        <f>-'Enter and Change Data Here'!$G$140/100*'Cash Flow'!CU19</f>
        <v>0</v>
      </c>
      <c r="CV31" s="2"/>
      <c r="CW31" s="6">
        <f>-'Enter and Change Data Here'!$G$140/100*'Cash Flow'!CW19</f>
        <v>0</v>
      </c>
      <c r="CX31" s="2"/>
      <c r="CY31" s="6">
        <f>-'Enter and Change Data Here'!$G$140/100*'Cash Flow'!CY19</f>
        <v>0</v>
      </c>
      <c r="CZ31" s="2"/>
      <c r="DA31" s="6">
        <f>-'Enter and Change Data Here'!$G$140/100*'Cash Flow'!DA19</f>
        <v>0</v>
      </c>
      <c r="DB31" s="2"/>
      <c r="DC31" s="6">
        <f>-'Enter and Change Data Here'!$G$140/100*'Cash Flow'!DC19</f>
        <v>0</v>
      </c>
      <c r="DD31" s="2"/>
      <c r="DE31" s="6">
        <f>-'Enter and Change Data Here'!$G$140/100*'Cash Flow'!DE19</f>
        <v>0</v>
      </c>
      <c r="DF31" s="198"/>
      <c r="DG31" s="221"/>
      <c r="DH31" s="198"/>
    </row>
    <row r="32" spans="2:112" ht="12.75">
      <c r="B32" s="3"/>
      <c r="C32" s="2"/>
      <c r="D32" s="2"/>
      <c r="E32" s="2"/>
      <c r="F32" s="2"/>
      <c r="G32" s="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3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3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198"/>
      <c r="DG32" s="3"/>
      <c r="DH32" s="198"/>
    </row>
    <row r="33" spans="2:112" ht="12.75">
      <c r="B33" s="3"/>
      <c r="C33" s="2" t="s">
        <v>225</v>
      </c>
      <c r="D33" s="2"/>
      <c r="E33" s="2"/>
      <c r="F33" s="2"/>
      <c r="G33" s="150" t="str">
        <f>CONCATENATE("(",'Enter and Change Data Here'!$G$13,")")</f>
        <v>($US)</v>
      </c>
      <c r="H33" s="32"/>
      <c r="I33" s="6">
        <f>0</f>
        <v>0</v>
      </c>
      <c r="J33" s="2"/>
      <c r="K33" s="6">
        <f>IF(K2&lt;='Enter and Change Data Here'!$G$26,I43*'Enter and Change Data Here'!$G$131/100,0)</f>
        <v>20000</v>
      </c>
      <c r="L33" s="2"/>
      <c r="M33" s="6">
        <f>IF(M2&lt;='Enter and Change Data Here'!$G$26,K43*'Enter and Change Data Here'!$G$131/100,0)</f>
        <v>168135.2449366365</v>
      </c>
      <c r="N33" s="2"/>
      <c r="O33" s="6">
        <f>IF(O2&lt;='Enter and Change Data Here'!$G$26,M43*'Enter and Change Data Here'!$G$131/100,0)</f>
        <v>355980.6443720056</v>
      </c>
      <c r="P33" s="2"/>
      <c r="Q33" s="6">
        <f>IF(Q2&lt;='Enter and Change Data Here'!$G$26,O43*'Enter and Change Data Here'!$G$131/100,0)</f>
        <v>567306.6298760823</v>
      </c>
      <c r="R33" s="2"/>
      <c r="S33" s="6">
        <f>IF(S2&lt;='Enter and Change Data Here'!$G$26,Q43*'Enter and Change Data Here'!$G$131/100,0)</f>
        <v>785037.4682870405</v>
      </c>
      <c r="T33" s="2"/>
      <c r="U33" s="6">
        <f>IF(U2&lt;='Enter and Change Data Here'!$G$26,S43*'Enter and Change Data Here'!$G$131/100,0)</f>
        <v>1009309.3649773857</v>
      </c>
      <c r="V33" s="2"/>
      <c r="W33" s="6">
        <f>IF(W2&lt;='Enter and Change Data Here'!$G$26,U43*'Enter and Change Data Here'!$G$131/100,0)</f>
        <v>1240261.0570098655</v>
      </c>
      <c r="X33" s="2"/>
      <c r="Y33" s="6">
        <f>IF(Y2&lt;='Enter and Change Data Here'!$G$26,W43*'Enter and Change Data Here'!$G$131/100,0)</f>
        <v>1478033.856377095</v>
      </c>
      <c r="Z33" s="2"/>
      <c r="AA33" s="6">
        <f>IF(AA2&lt;='Enter and Change Data Here'!$G$26,Y43*'Enter and Change Data Here'!$G$131/100,0)</f>
        <v>1717676.2276591084</v>
      </c>
      <c r="AB33" s="2"/>
      <c r="AC33" s="6">
        <f>IF(AC2&lt;='Enter and Change Data Here'!$G$26,AA43*'Enter and Change Data Here'!$G$131/100,0)</f>
        <v>1857062.9356845575</v>
      </c>
      <c r="AD33" s="32"/>
      <c r="AE33" s="6">
        <f>IF(AE2&lt;='Enter and Change Data Here'!$G$26,AC43*'Enter and Change Data Here'!$G$131/100,0)</f>
        <v>1998407.0873506966</v>
      </c>
      <c r="AF33" s="2"/>
      <c r="AG33" s="6">
        <f>IF(AG2&lt;='Enter and Change Data Here'!$G$26,AE43*'Enter and Change Data Here'!$G$131/100,0)</f>
        <v>2141641.814673652</v>
      </c>
      <c r="AH33" s="2"/>
      <c r="AI33" s="6">
        <f>IF(AI2&lt;='Enter and Change Data Here'!$G$26,AG43*'Enter and Change Data Here'!$G$131/100,0)</f>
        <v>2286690.802012376</v>
      </c>
      <c r="AJ33" s="2"/>
      <c r="AK33" s="6">
        <f>IF(AK2&lt;='Enter and Change Data Here'!$G$26,AI43*'Enter and Change Data Here'!$G$131/100,0)</f>
        <v>2433467.4024304436</v>
      </c>
      <c r="AL33" s="2"/>
      <c r="AM33" s="6">
        <f>IF(AM2&lt;='Enter and Change Data Here'!$G$26,AK43*'Enter and Change Data Here'!$G$131/100,0)</f>
        <v>2581873.6744670044</v>
      </c>
      <c r="AN33" s="2"/>
      <c r="AO33" s="6">
        <f>IF(AO2&lt;='Enter and Change Data Here'!$G$26,AM43*'Enter and Change Data Here'!$G$131/100,0)</f>
        <v>2731799.332161489</v>
      </c>
      <c r="AP33" s="2"/>
      <c r="AQ33" s="6">
        <f>IF(AQ2&lt;='Enter and Change Data Here'!$G$26,AO43*'Enter and Change Data Here'!$G$131/100,0)</f>
        <v>2883120.6005329774</v>
      </c>
      <c r="AR33" s="2"/>
      <c r="AS33" s="6">
        <f>IF(AS2&lt;='Enter and Change Data Here'!$G$26,AQ43*'Enter and Change Data Here'!$G$131/100,0)</f>
        <v>3035698.968013495</v>
      </c>
      <c r="AT33" s="2"/>
      <c r="AU33" s="6">
        <f>IF(AU2&lt;='Enter and Change Data Here'!$G$26,AS43*'Enter and Change Data Here'!$G$131/100,0)</f>
        <v>3189379.826569748</v>
      </c>
      <c r="AV33" s="2"/>
      <c r="AW33" s="6">
        <f>IF(AW2&lt;='Enter and Change Data Here'!$G$26,AU43*'Enter and Change Data Here'!$G$131/100,0)</f>
        <v>3343990.9894142067</v>
      </c>
      <c r="AX33" s="32"/>
      <c r="AY33" s="6">
        <f>IF(AY2&lt;='Enter and Change Data Here'!$G$26,AW43*'Enter and Change Data Here'!$G$131/100,0)</f>
        <v>3499341.0752978516</v>
      </c>
      <c r="AZ33" s="2"/>
      <c r="BA33" s="6">
        <f>IF(BA2&lt;='Enter and Change Data Here'!$G$26,AY43*'Enter and Change Data Here'!$G$131/100,0)</f>
        <v>3737219.7824498783</v>
      </c>
      <c r="BB33" s="2"/>
      <c r="BC33" s="6">
        <f>IF(BC2&lt;='Enter and Change Data Here'!$G$26,BA43*'Enter and Change Data Here'!$G$131/100,0)</f>
        <v>3979325.9614530317</v>
      </c>
      <c r="BD33" s="2"/>
      <c r="BE33" s="6">
        <f>IF(BE2&lt;='Enter and Change Data Here'!$G$26,BC43*'Enter and Change Data Here'!$G$131/100,0)</f>
        <v>4225712.352467636</v>
      </c>
      <c r="BF33" s="2"/>
      <c r="BG33" s="6">
        <f>IF(BG2&lt;='Enter and Change Data Here'!$G$26,BE43*'Enter and Change Data Here'!$G$131/100,0)</f>
        <v>4476432.114265405</v>
      </c>
      <c r="BH33" s="2"/>
      <c r="BI33" s="6">
        <f>IF(BI2&lt;='Enter and Change Data Here'!$G$26,BG43*'Enter and Change Data Here'!$G$131/100,0)</f>
        <v>0</v>
      </c>
      <c r="BJ33" s="2"/>
      <c r="BK33" s="6">
        <f>IF(BK2&lt;='Enter and Change Data Here'!$G$26,BI43*'Enter and Change Data Here'!$G$131/100,0)</f>
        <v>0</v>
      </c>
      <c r="BL33" s="2"/>
      <c r="BM33" s="6">
        <f>IF(BM2&lt;='Enter and Change Data Here'!$G$26,BK43*'Enter and Change Data Here'!$G$131/100,0)</f>
        <v>0</v>
      </c>
      <c r="BN33" s="2"/>
      <c r="BO33" s="6">
        <f>IF(BO2&lt;='Enter and Change Data Here'!$G$26,BM43*'Enter and Change Data Here'!$G$131/100,0)</f>
        <v>0</v>
      </c>
      <c r="BP33" s="2"/>
      <c r="BQ33" s="6">
        <f>IF(BQ2&lt;='Enter and Change Data Here'!$G$26,BO43*'Enter and Change Data Here'!$G$131/100,0)</f>
        <v>0</v>
      </c>
      <c r="BR33" s="32"/>
      <c r="BS33" s="6">
        <f>IF(BS2&lt;='Enter and Change Data Here'!$G$26,BQ43*'Enter and Change Data Here'!$G$131/100,0)</f>
        <v>0</v>
      </c>
      <c r="BT33" s="2"/>
      <c r="BU33" s="6">
        <f>IF(BU2&lt;='Enter and Change Data Here'!$G$26,BS43*'Enter and Change Data Here'!$G$131/100,0)</f>
        <v>0</v>
      </c>
      <c r="BV33" s="2"/>
      <c r="BW33" s="6">
        <f>IF(BW2&lt;='Enter and Change Data Here'!$G$26,BU43*'Enter and Change Data Here'!$G$131/100,0)</f>
        <v>0</v>
      </c>
      <c r="BX33" s="2"/>
      <c r="BY33" s="6">
        <f>IF(BY2&lt;='Enter and Change Data Here'!$G$26,BW43*'Enter and Change Data Here'!$G$131/100,0)</f>
        <v>0</v>
      </c>
      <c r="BZ33" s="2"/>
      <c r="CA33" s="6">
        <f>IF(CA2&lt;='Enter and Change Data Here'!$G$26,BY43*'Enter and Change Data Here'!$G$131/100,0)</f>
        <v>0</v>
      </c>
      <c r="CB33" s="2"/>
      <c r="CC33" s="6">
        <f>IF(CC2&lt;='Enter and Change Data Here'!$G$26,CA43*'Enter and Change Data Here'!$G$131/100,0)</f>
        <v>0</v>
      </c>
      <c r="CD33" s="2"/>
      <c r="CE33" s="6">
        <f>IF(CE2&lt;='Enter and Change Data Here'!$G$26,CC43*'Enter and Change Data Here'!$G$131/100,0)</f>
        <v>0</v>
      </c>
      <c r="CF33" s="2"/>
      <c r="CG33" s="6">
        <f>IF(CG2&lt;='Enter and Change Data Here'!$G$26,CE43*'Enter and Change Data Here'!$G$131/100,0)</f>
        <v>0</v>
      </c>
      <c r="CH33" s="2"/>
      <c r="CI33" s="6">
        <f>IF(CI2&lt;='Enter and Change Data Here'!$G$26,CG43*'Enter and Change Data Here'!$G$131/100,0)</f>
        <v>0</v>
      </c>
      <c r="CJ33" s="2"/>
      <c r="CK33" s="6">
        <f>IF(CK2&lt;='Enter and Change Data Here'!$G$26,CI43*'Enter and Change Data Here'!$G$131/100,0)</f>
        <v>0</v>
      </c>
      <c r="CL33" s="32"/>
      <c r="CM33" s="6">
        <f>IF(CM2&lt;='Enter and Change Data Here'!$G$26,CK43*'Enter and Change Data Here'!$G$131/100,0)</f>
        <v>0</v>
      </c>
      <c r="CN33" s="2"/>
      <c r="CO33" s="6">
        <f>IF(CO2&lt;='Enter and Change Data Here'!$G$26,CM43*'Enter and Change Data Here'!$G$131/100,0)</f>
        <v>0</v>
      </c>
      <c r="CP33" s="2"/>
      <c r="CQ33" s="6">
        <f>IF(CQ2&lt;='Enter and Change Data Here'!$G$26,CO43*'Enter and Change Data Here'!$G$131/100,0)</f>
        <v>0</v>
      </c>
      <c r="CR33" s="2"/>
      <c r="CS33" s="6">
        <f>IF(CS2&lt;='Enter and Change Data Here'!$G$26,CQ43*'Enter and Change Data Here'!$G$131/100,0)</f>
        <v>0</v>
      </c>
      <c r="CT33" s="2"/>
      <c r="CU33" s="6">
        <f>IF(CU2&lt;='Enter and Change Data Here'!$G$26,CS43*'Enter and Change Data Here'!$G$131/100,0)</f>
        <v>0</v>
      </c>
      <c r="CV33" s="2"/>
      <c r="CW33" s="6">
        <f>IF(CW2&lt;='Enter and Change Data Here'!$G$26,CU43*'Enter and Change Data Here'!$G$131/100,0)</f>
        <v>0</v>
      </c>
      <c r="CX33" s="2"/>
      <c r="CY33" s="6">
        <f>IF(CY2&lt;='Enter and Change Data Here'!$G$26,CW43*'Enter and Change Data Here'!$G$131/100,0)</f>
        <v>0</v>
      </c>
      <c r="CZ33" s="2"/>
      <c r="DA33" s="6">
        <f>IF(DA2&lt;='Enter and Change Data Here'!$G$26,CY43*'Enter and Change Data Here'!$G$131/100,0)</f>
        <v>0</v>
      </c>
      <c r="DB33" s="2"/>
      <c r="DC33" s="6">
        <f>IF(DC2&lt;='Enter and Change Data Here'!$G$26,DA43*'Enter and Change Data Here'!$G$131/100,0)</f>
        <v>0</v>
      </c>
      <c r="DD33" s="2"/>
      <c r="DE33" s="6">
        <f>IF(DE2&lt;='Enter and Change Data Here'!$G$26,DC43*'Enter and Change Data Here'!$G$131/100,0)</f>
        <v>0</v>
      </c>
      <c r="DF33" s="198"/>
      <c r="DG33" s="3"/>
      <c r="DH33" s="198"/>
    </row>
    <row r="34" spans="2:112" ht="12.75">
      <c r="B34" s="3"/>
      <c r="C34" s="2"/>
      <c r="D34" s="2"/>
      <c r="E34" s="2"/>
      <c r="F34" s="2"/>
      <c r="G34" s="2"/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3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198"/>
      <c r="DG34" s="3"/>
      <c r="DH34" s="198"/>
    </row>
    <row r="35" spans="2:112" ht="12.75">
      <c r="B35" s="3"/>
      <c r="C35" s="2" t="s">
        <v>171</v>
      </c>
      <c r="D35" s="2"/>
      <c r="E35" s="2"/>
      <c r="F35" s="2"/>
      <c r="G35" s="150" t="str">
        <f>CONCATENATE("(",'Enter and Change Data Here'!$G$13,")")</f>
        <v>($US)</v>
      </c>
      <c r="H35" s="32"/>
      <c r="I35" s="6">
        <f>I5+I7+I8+I33+I26+I16</f>
        <v>-3000000</v>
      </c>
      <c r="J35" s="2"/>
      <c r="K35" s="6">
        <f>K5+K7+K8+K33+K26+K16</f>
        <v>3659851.2881355924</v>
      </c>
      <c r="L35" s="2"/>
      <c r="M35" s="6">
        <f>M5+M7+M8+M33+M26+M16</f>
        <v>5711201.645433632</v>
      </c>
      <c r="N35" s="2"/>
      <c r="O35" s="6">
        <f>O5+O7+O8+O33+O26+O16</f>
        <v>6956999.418142939</v>
      </c>
      <c r="P35" s="2"/>
      <c r="Q35" s="6">
        <f>Q5+Q7+Q8+Q33+Q26+Q16</f>
        <v>7355469.694995603</v>
      </c>
      <c r="R35" s="2"/>
      <c r="S35" s="6">
        <f>S5+S7+S8+S33+S26+S16</f>
        <v>7767790.727309319</v>
      </c>
      <c r="T35" s="2"/>
      <c r="U35" s="6">
        <f>U5+U7+U8+U33+U26+U16</f>
        <v>8194722.743411399</v>
      </c>
      <c r="V35" s="2"/>
      <c r="W35" s="6">
        <f>W5+W7+W8+W33+W26+W16</f>
        <v>8637085.161553815</v>
      </c>
      <c r="X35" s="2"/>
      <c r="Y35" s="6">
        <f>Y5+Y7+Y8+Y33+Y26+Y16</f>
        <v>9095761.7565006</v>
      </c>
      <c r="Z35" s="2"/>
      <c r="AA35" s="6">
        <f>AA5+AA7+AA8+AA33+AA26+AA16</f>
        <v>9566610.822258545</v>
      </c>
      <c r="AB35" s="2"/>
      <c r="AC35" s="6">
        <f>AC5+AC7+AC8+AC33+AC26+AC16</f>
        <v>9948390.408105835</v>
      </c>
      <c r="AD35" s="32"/>
      <c r="AE35" s="6">
        <f>AE5+AE7+AE8+AE33+AE26+AE16</f>
        <v>10344276.997384757</v>
      </c>
      <c r="AF35" s="2"/>
      <c r="AG35" s="6">
        <f>AG5+AG7+AG8+AG33+AG26+AG16</f>
        <v>10755254.425518636</v>
      </c>
      <c r="AH35" s="2"/>
      <c r="AI35" s="6">
        <f>AI5+AI7+AI8+AI33+AI26+AI16</f>
        <v>11182392.294030929</v>
      </c>
      <c r="AJ35" s="2"/>
      <c r="AK35" s="6">
        <f>AK5+AK7+AK8+AK33+AK26+AK16</f>
        <v>11626853.684210042</v>
      </c>
      <c r="AL35" s="2"/>
      <c r="AM35" s="6">
        <f>AM5+AM7+AM8+AM33+AM26+AM16</f>
        <v>12089903.565652499</v>
      </c>
      <c r="AN35" s="2"/>
      <c r="AO35" s="6">
        <f>AO5+AO7+AO8+AO33+AO26+AO16</f>
        <v>12572917.962246938</v>
      </c>
      <c r="AP35" s="2"/>
      <c r="AQ35" s="6">
        <f>AQ5+AQ7+AQ8+AQ33+AQ26+AQ16</f>
        <v>13077393.943792824</v>
      </c>
      <c r="AR35" s="2"/>
      <c r="AS35" s="6">
        <f>AS5+AS7+AS8+AS33+AS26+AS16</f>
        <v>13604960.517585624</v>
      </c>
      <c r="AT35" s="2"/>
      <c r="AU35" s="6">
        <f>AU5+AU7+AU8+AU33+AU26+AU16</f>
        <v>14157390.500991004</v>
      </c>
      <c r="AV35" s="2"/>
      <c r="AW35" s="6">
        <f>AW5+AW7+AW8+AW33+AW26+AW16</f>
        <v>14736613.46332302</v>
      </c>
      <c r="AX35" s="32"/>
      <c r="AY35" s="6">
        <f>AY5+AY7+AY8+AY33+AY26+AY16</f>
        <v>19823225.596002255</v>
      </c>
      <c r="AZ35" s="2"/>
      <c r="BA35" s="6">
        <f>BA5+BA7+BA8+BA33+BA26+BA16</f>
        <v>20175514.916929476</v>
      </c>
      <c r="BB35" s="2"/>
      <c r="BC35" s="6">
        <f>BC5+BC7+BC8+BC33+BC26+BC16</f>
        <v>20532199.251216944</v>
      </c>
      <c r="BD35" s="2"/>
      <c r="BE35" s="6">
        <f>BE5+BE7+BE8+BE33+BE26+BE16</f>
        <v>20893313.483147487</v>
      </c>
      <c r="BF35" s="2"/>
      <c r="BG35" s="6">
        <f>BG5+BG7+BG8+BG33+BG26+BG16</f>
        <v>21258892.346430734</v>
      </c>
      <c r="BH35" s="2"/>
      <c r="BI35" s="6">
        <f>BI5+BI7+BI8+BI33+BI26+BI16</f>
        <v>0</v>
      </c>
      <c r="BJ35" s="2"/>
      <c r="BK35" s="6">
        <f>BK5+BK7+BK8+BK33+BK26+BK16</f>
        <v>0</v>
      </c>
      <c r="BL35" s="2"/>
      <c r="BM35" s="6">
        <f>BM5+BM7+BM8+BM33+BM26+BM16</f>
        <v>0</v>
      </c>
      <c r="BN35" s="2"/>
      <c r="BO35" s="6">
        <f>BO5+BO7+BO8+BO33+BO26+BO16</f>
        <v>0</v>
      </c>
      <c r="BP35" s="2"/>
      <c r="BQ35" s="6">
        <f>BQ5+BQ7+BQ8+BQ33+BQ26+BQ16</f>
        <v>0</v>
      </c>
      <c r="BR35" s="32"/>
      <c r="BS35" s="6">
        <f>BS5+BS7+BS8+BS33+BS26+BS16</f>
        <v>0</v>
      </c>
      <c r="BT35" s="2"/>
      <c r="BU35" s="6">
        <f>BU5+BU7+BU8+BU33+BU26+BU16</f>
        <v>0</v>
      </c>
      <c r="BV35" s="2"/>
      <c r="BW35" s="6">
        <f>BW5+BW7+BW8+BW33+BW26+BW16</f>
        <v>0</v>
      </c>
      <c r="BX35" s="2"/>
      <c r="BY35" s="6">
        <f>BY5+BY7+BY8+BY33+BY26+BY16</f>
        <v>0</v>
      </c>
      <c r="BZ35" s="2"/>
      <c r="CA35" s="6">
        <f>CA5+CA7+CA8+CA33+CA26+CA16</f>
        <v>0</v>
      </c>
      <c r="CB35" s="2"/>
      <c r="CC35" s="6">
        <f>CC5+CC7+CC8+CC33+CC26+CC16</f>
        <v>0</v>
      </c>
      <c r="CD35" s="2"/>
      <c r="CE35" s="6">
        <f>CE5+CE7+CE8+CE33+CE26+CE16</f>
        <v>0</v>
      </c>
      <c r="CF35" s="2"/>
      <c r="CG35" s="6">
        <f>CG5+CG7+CG8+CG33+CG26+CG16</f>
        <v>0</v>
      </c>
      <c r="CH35" s="2"/>
      <c r="CI35" s="6">
        <f>CI5+CI7+CI8+CI33+CI26+CI16</f>
        <v>0</v>
      </c>
      <c r="CJ35" s="2"/>
      <c r="CK35" s="6">
        <f>CK5+CK7+CK8+CK33+CK26+CK16</f>
        <v>0</v>
      </c>
      <c r="CL35" s="32"/>
      <c r="CM35" s="6">
        <f>CM5+CM7+CM8+CM33+CM26+CM16</f>
        <v>0</v>
      </c>
      <c r="CN35" s="2"/>
      <c r="CO35" s="6">
        <f>CO5+CO7+CO8+CO33+CO26+CO16</f>
        <v>0</v>
      </c>
      <c r="CP35" s="2"/>
      <c r="CQ35" s="6">
        <f>CQ5+CQ7+CQ8+CQ33+CQ26+CQ16</f>
        <v>0</v>
      </c>
      <c r="CR35" s="2"/>
      <c r="CS35" s="6">
        <f>CS5+CS7+CS8+CS33+CS26+CS16</f>
        <v>0</v>
      </c>
      <c r="CT35" s="2"/>
      <c r="CU35" s="6">
        <f>CU5+CU7+CU8+CU33+CU26+CU16</f>
        <v>0</v>
      </c>
      <c r="CV35" s="2"/>
      <c r="CW35" s="6">
        <f>CW5+CW7+CW8+CW33+CW26+CW16</f>
        <v>0</v>
      </c>
      <c r="CX35" s="2"/>
      <c r="CY35" s="6">
        <f>CY5+CY7+CY8+CY33+CY26+CY16</f>
        <v>0</v>
      </c>
      <c r="CZ35" s="2"/>
      <c r="DA35" s="6">
        <f>DA5+DA7+DA8+DA33+DA26+DA16</f>
        <v>0</v>
      </c>
      <c r="DB35" s="2"/>
      <c r="DC35" s="6">
        <f>DC5+DC7+DC8+DC33+DC26+DC16</f>
        <v>0</v>
      </c>
      <c r="DD35" s="2"/>
      <c r="DE35" s="6">
        <f>DE5+DE7+DE8+DE33+DE26+DE16</f>
        <v>0</v>
      </c>
      <c r="DF35" s="198"/>
      <c r="DG35" s="3"/>
      <c r="DH35" s="198"/>
    </row>
    <row r="36" spans="2:112" ht="12.75">
      <c r="B36" s="3"/>
      <c r="C36" s="2" t="s">
        <v>170</v>
      </c>
      <c r="D36" s="2"/>
      <c r="E36" s="2"/>
      <c r="F36" s="2"/>
      <c r="G36" s="150" t="str">
        <f>CONCATENATE("(",'Enter and Change Data Here'!$G$13,")")</f>
        <v>($US)</v>
      </c>
      <c r="H36" s="32"/>
      <c r="I36" s="6">
        <f>I5+I7+I8+I33+I15+I16</f>
        <v>-3000000</v>
      </c>
      <c r="J36" s="2"/>
      <c r="K36" s="6">
        <f>K5+K7+K8+K33+K15+K16</f>
        <v>-14254131.762711864</v>
      </c>
      <c r="L36" s="2"/>
      <c r="M36" s="6">
        <f>M5+M7+M8+M33+M15+M16</f>
        <v>-34595260.218973145</v>
      </c>
      <c r="N36" s="2"/>
      <c r="O36" s="6">
        <f>O5+O7+O8+O33+O15+O16</f>
        <v>-10956983.632704517</v>
      </c>
      <c r="P36" s="2"/>
      <c r="Q36" s="6">
        <f>Q5+Q7+Q8+Q33+Q15+Q16</f>
        <v>11833965.457707467</v>
      </c>
      <c r="R36" s="2"/>
      <c r="S36" s="6">
        <f>S5+S7+S8+S33+S15+S16</f>
        <v>12246286.490021184</v>
      </c>
      <c r="T36" s="2"/>
      <c r="U36" s="6">
        <f>U5+U7+U8+U33+U15+U16</f>
        <v>12673218.506123263</v>
      </c>
      <c r="V36" s="2"/>
      <c r="W36" s="6">
        <f>W5+W7+W8+W33+W15+W16</f>
        <v>13115580.924265679</v>
      </c>
      <c r="X36" s="2"/>
      <c r="Y36" s="6">
        <f>Y5+Y7+Y8+Y33+Y15+Y16</f>
        <v>13574257.519212464</v>
      </c>
      <c r="Z36" s="2"/>
      <c r="AA36" s="6">
        <f>AA5+AA7+AA8+AA33+AA15+AA16</f>
        <v>14045106.584970409</v>
      </c>
      <c r="AB36" s="2"/>
      <c r="AC36" s="6">
        <f>AC5+AC7+AC8+AC33+AC15+AC16</f>
        <v>14426886.1708177</v>
      </c>
      <c r="AD36" s="32"/>
      <c r="AE36" s="6">
        <f>AE5+AE7+AE8+AE33+AE15+AE16</f>
        <v>14822772.76009662</v>
      </c>
      <c r="AF36" s="2"/>
      <c r="AG36" s="6">
        <f>AG5+AG7+AG8+AG33+AG15+AG16</f>
        <v>15233750.1882305</v>
      </c>
      <c r="AH36" s="2"/>
      <c r="AI36" s="6">
        <f>AI5+AI7+AI8+AI33+AI15+AI16</f>
        <v>15660888.056742793</v>
      </c>
      <c r="AJ36" s="2"/>
      <c r="AK36" s="6">
        <f>AK5+AK7+AK8+AK33+AK15+AK16</f>
        <v>16105349.446921906</v>
      </c>
      <c r="AL36" s="2"/>
      <c r="AM36" s="6">
        <f>AM5+AM7+AM8+AM33+AM15+AM16</f>
        <v>16568399.328364363</v>
      </c>
      <c r="AN36" s="2"/>
      <c r="AO36" s="6">
        <f>AO5+AO7+AO8+AO33+AO15+AO16</f>
        <v>17051413.7249588</v>
      </c>
      <c r="AP36" s="2"/>
      <c r="AQ36" s="6">
        <f>AQ5+AQ7+AQ8+AQ33+AQ15+AQ16</f>
        <v>17555889.706504688</v>
      </c>
      <c r="AR36" s="2"/>
      <c r="AS36" s="6">
        <f>AS5+AS7+AS8+AS33+AS15+AS16</f>
        <v>18083456.280297488</v>
      </c>
      <c r="AT36" s="2"/>
      <c r="AU36" s="6">
        <f>AU5+AU7+AU8+AU33+AU15+AU16</f>
        <v>18635886.26370287</v>
      </c>
      <c r="AV36" s="2"/>
      <c r="AW36" s="6">
        <f>AW5+AW7+AW8+AW33+AW15+AW16</f>
        <v>19215109.226034883</v>
      </c>
      <c r="AX36" s="32"/>
      <c r="AY36" s="6">
        <f>AY5+AY7+AY8+AY33+AY15+AY16</f>
        <v>19823225.596002255</v>
      </c>
      <c r="AZ36" s="2"/>
      <c r="BA36" s="6">
        <f>BA5+BA7+BA8+BA33+BA15+BA16</f>
        <v>20175514.916929476</v>
      </c>
      <c r="BB36" s="2"/>
      <c r="BC36" s="6">
        <f>BC5+BC7+BC8+BC33+BC15+BC16</f>
        <v>20532199.251216944</v>
      </c>
      <c r="BD36" s="2"/>
      <c r="BE36" s="6">
        <f>BE5+BE7+BE8+BE33+BE15+BE16</f>
        <v>20893313.483147487</v>
      </c>
      <c r="BF36" s="2"/>
      <c r="BG36" s="6">
        <f>BG5+BG7+BG8+BG33+BG15+BG16</f>
        <v>21258892.346430734</v>
      </c>
      <c r="BH36" s="2"/>
      <c r="BI36" s="6">
        <f>BI5+BI7+BI8+BI33+BI15+BI16</f>
        <v>0</v>
      </c>
      <c r="BJ36" s="2"/>
      <c r="BK36" s="6">
        <f>BK5+BK7+BK8+BK33+BK15+BK16</f>
        <v>0</v>
      </c>
      <c r="BL36" s="2"/>
      <c r="BM36" s="6">
        <f>BM5+BM7+BM8+BM33+BM15+BM16</f>
        <v>0</v>
      </c>
      <c r="BN36" s="2"/>
      <c r="BO36" s="6">
        <f>BO5+BO7+BO8+BO33+BO15+BO16</f>
        <v>0</v>
      </c>
      <c r="BP36" s="2"/>
      <c r="BQ36" s="6">
        <f>BQ5+BQ7+BQ8+BQ33+BQ15+BQ16</f>
        <v>0</v>
      </c>
      <c r="BR36" s="32"/>
      <c r="BS36" s="6">
        <f>BS5+BS7+BS8+BS33+BS15+BS16</f>
        <v>0</v>
      </c>
      <c r="BT36" s="2"/>
      <c r="BU36" s="6">
        <f>BU5+BU7+BU8+BU33+BU15+BU16</f>
        <v>0</v>
      </c>
      <c r="BV36" s="2"/>
      <c r="BW36" s="6">
        <f>BW5+BW7+BW8+BW33+BW15+BW16</f>
        <v>0</v>
      </c>
      <c r="BX36" s="2"/>
      <c r="BY36" s="6">
        <f>BY5+BY7+BY8+BY33+BY15+BY16</f>
        <v>0</v>
      </c>
      <c r="BZ36" s="2"/>
      <c r="CA36" s="6">
        <f>CA5+CA7+CA8+CA33+CA15+CA16</f>
        <v>0</v>
      </c>
      <c r="CB36" s="2"/>
      <c r="CC36" s="6">
        <f>CC5+CC7+CC8+CC33+CC15+CC16</f>
        <v>0</v>
      </c>
      <c r="CD36" s="2"/>
      <c r="CE36" s="6">
        <f>CE5+CE7+CE8+CE33+CE15+CE16</f>
        <v>0</v>
      </c>
      <c r="CF36" s="2"/>
      <c r="CG36" s="6">
        <f>CG5+CG7+CG8+CG33+CG15+CG16</f>
        <v>0</v>
      </c>
      <c r="CH36" s="2"/>
      <c r="CI36" s="6">
        <f>CI5+CI7+CI8+CI33+CI15+CI16</f>
        <v>0</v>
      </c>
      <c r="CJ36" s="2"/>
      <c r="CK36" s="6">
        <f>CK5+CK7+CK8+CK33+CK15+CK16</f>
        <v>0</v>
      </c>
      <c r="CL36" s="32"/>
      <c r="CM36" s="6">
        <f>CM5+CM7+CM8+CM33+CM15+CM16</f>
        <v>0</v>
      </c>
      <c r="CN36" s="2"/>
      <c r="CO36" s="6">
        <f>CO5+CO7+CO8+CO33+CO15+CO16</f>
        <v>0</v>
      </c>
      <c r="CP36" s="2"/>
      <c r="CQ36" s="6">
        <f>CQ5+CQ7+CQ8+CQ33+CQ15+CQ16</f>
        <v>0</v>
      </c>
      <c r="CR36" s="2"/>
      <c r="CS36" s="6">
        <f>CS5+CS7+CS8+CS33+CS15+CS16</f>
        <v>0</v>
      </c>
      <c r="CT36" s="2"/>
      <c r="CU36" s="6">
        <f>CU5+CU7+CU8+CU33+CU15+CU16</f>
        <v>0</v>
      </c>
      <c r="CV36" s="2"/>
      <c r="CW36" s="6">
        <f>CW5+CW7+CW8+CW33+CW15+CW16</f>
        <v>0</v>
      </c>
      <c r="CX36" s="2"/>
      <c r="CY36" s="6">
        <f>CY5+CY7+CY8+CY33+CY15+CY16</f>
        <v>0</v>
      </c>
      <c r="CZ36" s="2"/>
      <c r="DA36" s="6">
        <f>DA5+DA7+DA8+DA33+DA15+DA16</f>
        <v>0</v>
      </c>
      <c r="DB36" s="2"/>
      <c r="DC36" s="6">
        <f>DC5+DC7+DC8+DC33+DC15+DC16</f>
        <v>0</v>
      </c>
      <c r="DD36" s="2"/>
      <c r="DE36" s="6">
        <f>DE5+DE7+DE8+DE33+DE15+DE16</f>
        <v>0</v>
      </c>
      <c r="DF36" s="198"/>
      <c r="DG36" s="3"/>
      <c r="DH36" s="198"/>
    </row>
    <row r="37" spans="2:112" ht="12.75">
      <c r="B37" s="3"/>
      <c r="C37" s="2" t="s">
        <v>172</v>
      </c>
      <c r="D37" s="2"/>
      <c r="E37" s="2"/>
      <c r="F37" s="2"/>
      <c r="G37" s="150" t="str">
        <f>CONCATENATE("(",'Enter and Change Data Here'!$G$13,")")</f>
        <v>($US)</v>
      </c>
      <c r="H37" s="32"/>
      <c r="I37" s="6">
        <f>IF('Enter and Change Data Here'!$O$119="N",IF(I36+H37&lt;=0,I36+H37,0),0)</f>
        <v>-3000000</v>
      </c>
      <c r="J37" s="2"/>
      <c r="K37" s="6">
        <f>IF('Enter and Change Data Here'!$O$119="N",IF(K36+I37&lt;=0,K36+I37,0),0)</f>
        <v>-17254131.762711864</v>
      </c>
      <c r="L37" s="2"/>
      <c r="M37" s="6">
        <f>IF('Enter and Change Data Here'!$O$119="N",IF(M36+K37&lt;=0,M36+K37,0),0)</f>
        <v>-51849391.98168501</v>
      </c>
      <c r="N37" s="2"/>
      <c r="O37" s="6">
        <f>IF('Enter and Change Data Here'!$O$119="N",IF(O36+M37&lt;=0,O36+M37,0),0)</f>
        <v>-62806375.61438953</v>
      </c>
      <c r="P37" s="2"/>
      <c r="Q37" s="6">
        <f>IF('Enter and Change Data Here'!$O$119="N",IF(Q36+O37&lt;=0,Q36+O37,0),0)</f>
        <v>-50972410.15668207</v>
      </c>
      <c r="R37" s="2"/>
      <c r="S37" s="6">
        <f>IF('Enter and Change Data Here'!$O$119="N",IF(S36+Q37&lt;=0,S36+Q37,0),0)</f>
        <v>-38726123.66666088</v>
      </c>
      <c r="T37" s="2"/>
      <c r="U37" s="6">
        <f>IF('Enter and Change Data Here'!$O$119="N",IF(U36+S37&lt;=0,U36+S37,0),0)</f>
        <v>-26052905.16053762</v>
      </c>
      <c r="V37" s="2"/>
      <c r="W37" s="6">
        <f>IF('Enter and Change Data Here'!$O$119="N",IF(W36+U37&lt;=0,W36+U37,0),0)</f>
        <v>-12937324.23627194</v>
      </c>
      <c r="X37" s="2"/>
      <c r="Y37" s="6">
        <f>IF('Enter and Change Data Here'!$O$119="N",IF(Y36+W37&lt;=0,Y36+W37,0),0)</f>
        <v>0</v>
      </c>
      <c r="Z37" s="2"/>
      <c r="AA37" s="6">
        <f>IF('Enter and Change Data Here'!$O$119="N",IF(AA36+Y37&lt;=0,AA36+Y37,0),0)</f>
        <v>0</v>
      </c>
      <c r="AB37" s="2"/>
      <c r="AC37" s="6">
        <f>IF('Enter and Change Data Here'!$O$119="N",IF(AC36+AA37&lt;=0,AC36+AA37,0),0)</f>
        <v>0</v>
      </c>
      <c r="AD37" s="32"/>
      <c r="AE37" s="6">
        <f>IF('Enter and Change Data Here'!$O$119="N",IF(AE36+AC37&lt;=0,AE36+AC37,0),0)</f>
        <v>0</v>
      </c>
      <c r="AF37" s="2"/>
      <c r="AG37" s="6">
        <f>IF('Enter and Change Data Here'!$O$119="N",IF(AG36+AE37&lt;=0,AG36+AE37,0),0)</f>
        <v>0</v>
      </c>
      <c r="AH37" s="2"/>
      <c r="AI37" s="6">
        <f>IF('Enter and Change Data Here'!$O$119="N",IF(AI36+AG37&lt;=0,AI36+AG37,0),0)</f>
        <v>0</v>
      </c>
      <c r="AJ37" s="2"/>
      <c r="AK37" s="6">
        <f>IF('Enter and Change Data Here'!$O$119="N",IF(AK36+AI37&lt;=0,AK36+AI37,0),0)</f>
        <v>0</v>
      </c>
      <c r="AL37" s="2"/>
      <c r="AM37" s="6">
        <f>IF('Enter and Change Data Here'!$O$119="N",IF(AM36+AK37&lt;=0,AM36+AK37,0),0)</f>
        <v>0</v>
      </c>
      <c r="AN37" s="2"/>
      <c r="AO37" s="6">
        <f>IF('Enter and Change Data Here'!$O$119="N",IF(AO36+AM37&lt;=0,AO36+AM37,0),0)</f>
        <v>0</v>
      </c>
      <c r="AP37" s="2"/>
      <c r="AQ37" s="6">
        <f>IF('Enter and Change Data Here'!$O$119="N",IF(AQ36+AO37&lt;=0,AQ36+AO37,0),0)</f>
        <v>0</v>
      </c>
      <c r="AR37" s="2"/>
      <c r="AS37" s="6">
        <f>IF('Enter and Change Data Here'!$O$119="N",IF(AS36+AQ37&lt;=0,AS36+AQ37,0),0)</f>
        <v>0</v>
      </c>
      <c r="AT37" s="2"/>
      <c r="AU37" s="6">
        <f>IF('Enter and Change Data Here'!$O$119="N",IF(AU36+AS37&lt;=0,AU36+AS37,0),0)</f>
        <v>0</v>
      </c>
      <c r="AV37" s="2"/>
      <c r="AW37" s="6">
        <f>IF('Enter and Change Data Here'!$O$119="N",IF(AW36+AU37&lt;=0,AW36+AU37,0),0)</f>
        <v>0</v>
      </c>
      <c r="AX37" s="32"/>
      <c r="AY37" s="6">
        <f>IF('Enter and Change Data Here'!$O$119="N",IF(AY36+AW37&lt;=0,AY36+AW37,0),0)</f>
        <v>0</v>
      </c>
      <c r="AZ37" s="2"/>
      <c r="BA37" s="6">
        <f>IF('Enter and Change Data Here'!$O$119="N",IF(BA36+AY37&lt;=0,BA36+AY37,0),0)</f>
        <v>0</v>
      </c>
      <c r="BB37" s="2"/>
      <c r="BC37" s="6">
        <f>IF('Enter and Change Data Here'!$O$119="N",IF(BC36+BA37&lt;=0,BC36+BA37,0),0)</f>
        <v>0</v>
      </c>
      <c r="BD37" s="2"/>
      <c r="BE37" s="6">
        <f>IF('Enter and Change Data Here'!$O$119="N",IF(BE36+BC37&lt;=0,BE36+BC37,0),0)</f>
        <v>0</v>
      </c>
      <c r="BF37" s="2"/>
      <c r="BG37" s="6">
        <f>IF('Enter and Change Data Here'!$O$119="N",IF(BG36+BE37&lt;=0,BG36+BE37,0),0)</f>
        <v>0</v>
      </c>
      <c r="BH37" s="2"/>
      <c r="BI37" s="6">
        <f>IF('Enter and Change Data Here'!$O$119="N",IF(BI36+BG37&lt;=0,BI36+BG37,0),0)</f>
        <v>0</v>
      </c>
      <c r="BJ37" s="2"/>
      <c r="BK37" s="6">
        <f>IF('Enter and Change Data Here'!$O$119="N",IF(BK36+BI37&lt;=0,BK36+BI37,0),0)</f>
        <v>0</v>
      </c>
      <c r="BL37" s="2"/>
      <c r="BM37" s="6">
        <f>IF('Enter and Change Data Here'!$O$119="N",IF(BM36+BK37&lt;=0,BM36+BK37,0),0)</f>
        <v>0</v>
      </c>
      <c r="BN37" s="2"/>
      <c r="BO37" s="6">
        <f>IF('Enter and Change Data Here'!$O$119="N",IF(BO36+BM37&lt;=0,BO36+BM37,0),0)</f>
        <v>0</v>
      </c>
      <c r="BP37" s="2"/>
      <c r="BQ37" s="6">
        <f>IF('Enter and Change Data Here'!$O$119="N",IF(BQ36+BO37&lt;=0,BQ36+BO37,0),0)</f>
        <v>0</v>
      </c>
      <c r="BR37" s="32"/>
      <c r="BS37" s="6">
        <f>IF('Enter and Change Data Here'!$O$119="N",IF(BS36+BQ37&lt;=0,BS36+BQ37,0),0)</f>
        <v>0</v>
      </c>
      <c r="BT37" s="2"/>
      <c r="BU37" s="6">
        <f>IF('Enter and Change Data Here'!$O$119="N",IF(BU36+BS37&lt;=0,BU36+BS37,0),0)</f>
        <v>0</v>
      </c>
      <c r="BV37" s="2"/>
      <c r="BW37" s="6">
        <f>IF('Enter and Change Data Here'!$O$119="N",IF(BW36+BU37&lt;=0,BW36+BU37,0),0)</f>
        <v>0</v>
      </c>
      <c r="BX37" s="2"/>
      <c r="BY37" s="6">
        <f>IF('Enter and Change Data Here'!$O$119="N",IF(BY36+BW37&lt;=0,BY36+BW37,0),0)</f>
        <v>0</v>
      </c>
      <c r="BZ37" s="2"/>
      <c r="CA37" s="6">
        <f>IF('Enter and Change Data Here'!$O$119="N",IF(CA36+BY37&lt;=0,CA36+BY37,0),0)</f>
        <v>0</v>
      </c>
      <c r="CB37" s="2"/>
      <c r="CC37" s="6">
        <f>IF('Enter and Change Data Here'!$O$119="N",IF(CC36+CA37&lt;=0,CC36+CA37,0),0)</f>
        <v>0</v>
      </c>
      <c r="CD37" s="2"/>
      <c r="CE37" s="6">
        <f>IF('Enter and Change Data Here'!$O$119="N",IF(CE36+CC37&lt;=0,CE36+CC37,0),0)</f>
        <v>0</v>
      </c>
      <c r="CF37" s="2"/>
      <c r="CG37" s="6">
        <f>IF('Enter and Change Data Here'!$O$119="N",IF(CG36+CE37&lt;=0,CG36+CE37,0),0)</f>
        <v>0</v>
      </c>
      <c r="CH37" s="2"/>
      <c r="CI37" s="6">
        <f>IF('Enter and Change Data Here'!$O$119="N",IF(CI36+CG37&lt;=0,CI36+CG37,0),0)</f>
        <v>0</v>
      </c>
      <c r="CJ37" s="2"/>
      <c r="CK37" s="6">
        <f>IF('Enter and Change Data Here'!$O$119="N",IF(CK36+CI37&lt;=0,CK36+CI37,0),0)</f>
        <v>0</v>
      </c>
      <c r="CL37" s="32"/>
      <c r="CM37" s="6">
        <f>IF('Enter and Change Data Here'!$O$119="N",IF(CM36+CK37&lt;=0,CM36+CK37,0),0)</f>
        <v>0</v>
      </c>
      <c r="CN37" s="2"/>
      <c r="CO37" s="6">
        <f>IF('Enter and Change Data Here'!$O$119="N",IF(CO36+CM37&lt;=0,CO36+CM37,0),0)</f>
        <v>0</v>
      </c>
      <c r="CP37" s="2"/>
      <c r="CQ37" s="6">
        <f>IF('Enter and Change Data Here'!$O$119="N",IF(CQ36+CO37&lt;=0,CQ36+CO37,0),0)</f>
        <v>0</v>
      </c>
      <c r="CR37" s="2"/>
      <c r="CS37" s="6">
        <f>IF('Enter and Change Data Here'!$O$119="N",IF(CS36+CQ37&lt;=0,CS36+CQ37,0),0)</f>
        <v>0</v>
      </c>
      <c r="CT37" s="2"/>
      <c r="CU37" s="6">
        <f>IF('Enter and Change Data Here'!$O$119="N",IF(CU36+CS37&lt;=0,CU36+CS37,0),0)</f>
        <v>0</v>
      </c>
      <c r="CV37" s="2"/>
      <c r="CW37" s="6">
        <f>IF('Enter and Change Data Here'!$O$119="N",IF(CW36+CU37&lt;=0,CW36+CU37,0),0)</f>
        <v>0</v>
      </c>
      <c r="CX37" s="2"/>
      <c r="CY37" s="6">
        <f>IF('Enter and Change Data Here'!$O$119="N",IF(CY36+CW37&lt;=0,CY36+CW37,0),0)</f>
        <v>0</v>
      </c>
      <c r="CZ37" s="2"/>
      <c r="DA37" s="6">
        <f>IF('Enter and Change Data Here'!$O$119="N",IF(DA36+CY37&lt;=0,DA36+CY37,0),0)</f>
        <v>0</v>
      </c>
      <c r="DB37" s="2"/>
      <c r="DC37" s="6">
        <f>IF('Enter and Change Data Here'!$O$119="N",IF(DC36+DA37&lt;=0,DC36+DA37,0),0)</f>
        <v>0</v>
      </c>
      <c r="DD37" s="2"/>
      <c r="DE37" s="6">
        <f>IF('Enter and Change Data Here'!$O$119="N",IF(DE36+DC37&lt;=0,DE36+DC37,0),0)</f>
        <v>0</v>
      </c>
      <c r="DF37" s="198"/>
      <c r="DG37" s="3"/>
      <c r="DH37" s="198"/>
    </row>
    <row r="38" spans="2:112" ht="12.75">
      <c r="B38" s="3"/>
      <c r="C38" s="2" t="s">
        <v>173</v>
      </c>
      <c r="D38" s="2"/>
      <c r="E38" s="2"/>
      <c r="F38" s="2"/>
      <c r="G38" s="150" t="str">
        <f>CONCATENATE("(",'Enter and Change Data Here'!$G$13,")")</f>
        <v>($US)</v>
      </c>
      <c r="H38" s="32"/>
      <c r="I38" s="6">
        <f>-IF(I37&lt;0,0,(I36+H37)*'Enter and Change Data Here'!$O$118/100)</f>
        <v>0</v>
      </c>
      <c r="J38" s="2"/>
      <c r="K38" s="6">
        <f>-IF(K37&lt;0,0,(K36+I37)*'Enter and Change Data Here'!$O$118/100)</f>
        <v>0</v>
      </c>
      <c r="L38" s="2"/>
      <c r="M38" s="6">
        <f>-IF(M37&lt;0,0,(M36+K37)*'Enter and Change Data Here'!$O$118/100)</f>
        <v>0</v>
      </c>
      <c r="N38" s="2"/>
      <c r="O38" s="6">
        <f>-IF(O37&lt;0,0,(O36+M37)*'Enter and Change Data Here'!$O$118/100)</f>
        <v>0</v>
      </c>
      <c r="P38" s="2"/>
      <c r="Q38" s="6">
        <f>-IF(Q37&lt;0,0,(Q36+O37)*'Enter and Change Data Here'!$O$118/100)</f>
        <v>0</v>
      </c>
      <c r="R38" s="2"/>
      <c r="S38" s="6">
        <f>-IF(S37&lt;0,0,(S36+Q37)*'Enter and Change Data Here'!$O$118/100)</f>
        <v>0</v>
      </c>
      <c r="T38" s="2"/>
      <c r="U38" s="6">
        <f>-IF(U37&lt;0,0,(U36+S37)*'Enter and Change Data Here'!$O$118/100)</f>
        <v>0</v>
      </c>
      <c r="V38" s="2"/>
      <c r="W38" s="6">
        <f>-IF(W37&lt;0,0,(W36+U37)*'Enter and Change Data Here'!$O$118/100)</f>
        <v>0</v>
      </c>
      <c r="X38" s="2"/>
      <c r="Y38" s="6">
        <f>-IF(Y37&lt;0,0,(Y36+W37)*'Enter and Change Data Here'!$O$118/100)</f>
        <v>-254773.31317620949</v>
      </c>
      <c r="Z38" s="2"/>
      <c r="AA38" s="6">
        <f>-IF(AA37&lt;0,0,(AA36+Y37)*'Enter and Change Data Here'!$O$118/100)</f>
        <v>-5618042.633988163</v>
      </c>
      <c r="AB38" s="2"/>
      <c r="AC38" s="6">
        <f>-IF(AC37&lt;0,0,(AC36+AA37)*'Enter and Change Data Here'!$O$118/100)</f>
        <v>-5770754.46832708</v>
      </c>
      <c r="AD38" s="32"/>
      <c r="AE38" s="6">
        <f>-IF(AE37&lt;0,0,(AE36+AC37)*'Enter and Change Data Here'!$O$118/100)</f>
        <v>-5929109.104038648</v>
      </c>
      <c r="AF38" s="2"/>
      <c r="AG38" s="6">
        <f>-IF(AG37&lt;0,0,(AG36+AE37)*'Enter and Change Data Here'!$O$118/100)</f>
        <v>-6093500.0752922</v>
      </c>
      <c r="AH38" s="2"/>
      <c r="AI38" s="6">
        <f>-IF(AI37&lt;0,0,(AI36+AG37)*'Enter and Change Data Here'!$O$118/100)</f>
        <v>-6264355.222697117</v>
      </c>
      <c r="AJ38" s="2"/>
      <c r="AK38" s="6">
        <f>-IF(AK37&lt;0,0,(AK36+AI37)*'Enter and Change Data Here'!$O$118/100)</f>
        <v>-6442139.778768762</v>
      </c>
      <c r="AL38" s="2"/>
      <c r="AM38" s="6">
        <f>-IF(AM37&lt;0,0,(AM36+AK37)*'Enter and Change Data Here'!$O$118/100)</f>
        <v>-6627359.731345746</v>
      </c>
      <c r="AN38" s="2"/>
      <c r="AO38" s="6">
        <f>-IF(AO37&lt;0,0,(AO36+AM37)*'Enter and Change Data Here'!$O$118/100)</f>
        <v>-6820565.4899835205</v>
      </c>
      <c r="AP38" s="2"/>
      <c r="AQ38" s="6">
        <f>-IF(AQ37&lt;0,0,(AQ36+AO37)*'Enter and Change Data Here'!$O$118/100)</f>
        <v>-7022355.882601875</v>
      </c>
      <c r="AR38" s="2"/>
      <c r="AS38" s="6">
        <f>-IF(AS37&lt;0,0,(AS36+AQ37)*'Enter and Change Data Here'!$O$118/100)</f>
        <v>-7233382.512118995</v>
      </c>
      <c r="AT38" s="2"/>
      <c r="AU38" s="6">
        <f>-IF(AU37&lt;0,0,(AU36+AS37)*'Enter and Change Data Here'!$O$118/100)</f>
        <v>-7454354.505481148</v>
      </c>
      <c r="AV38" s="2"/>
      <c r="AW38" s="6">
        <f>-IF(AW37&lt;0,0,(AW36+AU37)*'Enter and Change Data Here'!$O$118/100)</f>
        <v>-7686043.690413953</v>
      </c>
      <c r="AX38" s="32"/>
      <c r="AY38" s="6">
        <f>-IF(AY37&lt;0,0,(AY36+AW37)*'Enter and Change Data Here'!$O$118/100)</f>
        <v>-7929290.238400902</v>
      </c>
      <c r="AZ38" s="2"/>
      <c r="BA38" s="6">
        <f>-IF(BA37&lt;0,0,(BA36+AY37)*'Enter and Change Data Here'!$O$118/100)</f>
        <v>-8070205.966771791</v>
      </c>
      <c r="BB38" s="2"/>
      <c r="BC38" s="6">
        <f>-IF(BC37&lt;0,0,(BC36+BA37)*'Enter and Change Data Here'!$O$118/100)</f>
        <v>-8212879.700486778</v>
      </c>
      <c r="BD38" s="2"/>
      <c r="BE38" s="6">
        <f>-IF(BE37&lt;0,0,(BE36+BC37)*'Enter and Change Data Here'!$O$118/100)</f>
        <v>-8357325.393258994</v>
      </c>
      <c r="BF38" s="2"/>
      <c r="BG38" s="6">
        <f>-IF(BG37&lt;0,0,(BG36+BE37)*'Enter and Change Data Here'!$O$118/100)</f>
        <v>-8503556.938572293</v>
      </c>
      <c r="BH38" s="2"/>
      <c r="BI38" s="6">
        <f>-IF(BI37&lt;0,0,(BI36+BG37)*'Enter and Change Data Here'!$O$118/100)</f>
        <v>0</v>
      </c>
      <c r="BJ38" s="2"/>
      <c r="BK38" s="6">
        <f>-IF(BK37&lt;0,0,(BK36+BI37)*'Enter and Change Data Here'!$O$118/100)</f>
        <v>0</v>
      </c>
      <c r="BL38" s="2"/>
      <c r="BM38" s="6">
        <f>-IF(BM37&lt;0,0,(BM36+BK37)*'Enter and Change Data Here'!$O$118/100)</f>
        <v>0</v>
      </c>
      <c r="BN38" s="2"/>
      <c r="BO38" s="6">
        <f>-IF(BO37&lt;0,0,(BO36+BM37)*'Enter and Change Data Here'!$O$118/100)</f>
        <v>0</v>
      </c>
      <c r="BP38" s="2"/>
      <c r="BQ38" s="6">
        <f>-IF(BQ37&lt;0,0,(BQ36+BO37)*'Enter and Change Data Here'!$O$118/100)</f>
        <v>0</v>
      </c>
      <c r="BR38" s="32"/>
      <c r="BS38" s="6">
        <f>-IF(BS37&lt;0,0,(BS36+BQ37)*'Enter and Change Data Here'!$O$118/100)</f>
        <v>0</v>
      </c>
      <c r="BT38" s="2"/>
      <c r="BU38" s="6">
        <f>-IF(BU37&lt;0,0,(BU36+BS37)*'Enter and Change Data Here'!$O$118/100)</f>
        <v>0</v>
      </c>
      <c r="BV38" s="2"/>
      <c r="BW38" s="6">
        <f>-IF(BW37&lt;0,0,(BW36+BU37)*'Enter and Change Data Here'!$O$118/100)</f>
        <v>0</v>
      </c>
      <c r="BX38" s="2"/>
      <c r="BY38" s="6">
        <f>-IF(BY37&lt;0,0,(BY36+BW37)*'Enter and Change Data Here'!$O$118/100)</f>
        <v>0</v>
      </c>
      <c r="BZ38" s="2"/>
      <c r="CA38" s="6">
        <f>-IF(CA37&lt;0,0,(CA36+BY37)*'Enter and Change Data Here'!$O$118/100)</f>
        <v>0</v>
      </c>
      <c r="CB38" s="2"/>
      <c r="CC38" s="6">
        <f>-IF(CC37&lt;0,0,(CC36+CA37)*'Enter and Change Data Here'!$O$118/100)</f>
        <v>0</v>
      </c>
      <c r="CD38" s="2"/>
      <c r="CE38" s="6">
        <f>-IF(CE37&lt;0,0,(CE36+CC37)*'Enter and Change Data Here'!$O$118/100)</f>
        <v>0</v>
      </c>
      <c r="CF38" s="2"/>
      <c r="CG38" s="6">
        <f>-IF(CG37&lt;0,0,(CG36+CE37)*'Enter and Change Data Here'!$O$118/100)</f>
        <v>0</v>
      </c>
      <c r="CH38" s="2"/>
      <c r="CI38" s="6">
        <f>-IF(CI37&lt;0,0,(CI36+CG37)*'Enter and Change Data Here'!$O$118/100)</f>
        <v>0</v>
      </c>
      <c r="CJ38" s="2"/>
      <c r="CK38" s="6">
        <f>-IF(CK37&lt;0,0,(CK36+CI37)*'Enter and Change Data Here'!$O$118/100)</f>
        <v>0</v>
      </c>
      <c r="CL38" s="32"/>
      <c r="CM38" s="6">
        <f>-IF(CM37&lt;0,0,(CM36+CK37)*'Enter and Change Data Here'!$O$118/100)</f>
        <v>0</v>
      </c>
      <c r="CN38" s="2"/>
      <c r="CO38" s="6">
        <f>-IF(CO37&lt;0,0,(CO36+CM37)*'Enter and Change Data Here'!$O$118/100)</f>
        <v>0</v>
      </c>
      <c r="CP38" s="2"/>
      <c r="CQ38" s="6">
        <f>-IF(CQ37&lt;0,0,(CQ36+CO37)*'Enter and Change Data Here'!$O$118/100)</f>
        <v>0</v>
      </c>
      <c r="CR38" s="2"/>
      <c r="CS38" s="6">
        <f>-IF(CS37&lt;0,0,(CS36+CQ37)*'Enter and Change Data Here'!$O$118/100)</f>
        <v>0</v>
      </c>
      <c r="CT38" s="2"/>
      <c r="CU38" s="6">
        <f>-IF(CU37&lt;0,0,(CU36+CS37)*'Enter and Change Data Here'!$O$118/100)</f>
        <v>0</v>
      </c>
      <c r="CV38" s="2"/>
      <c r="CW38" s="6">
        <f>-IF(CW37&lt;0,0,(CW36+CU37)*'Enter and Change Data Here'!$O$118/100)</f>
        <v>0</v>
      </c>
      <c r="CX38" s="2"/>
      <c r="CY38" s="6">
        <f>-IF(CY37&lt;0,0,(CY36+CW37)*'Enter and Change Data Here'!$O$118/100)</f>
        <v>0</v>
      </c>
      <c r="CZ38" s="2"/>
      <c r="DA38" s="6">
        <f>-IF(DA37&lt;0,0,(DA36+CY37)*'Enter and Change Data Here'!$O$118/100)</f>
        <v>0</v>
      </c>
      <c r="DB38" s="2"/>
      <c r="DC38" s="6">
        <f>-IF(DC37&lt;0,0,(DC36+DA37)*'Enter and Change Data Here'!$O$118/100)</f>
        <v>0</v>
      </c>
      <c r="DD38" s="2"/>
      <c r="DE38" s="6">
        <f>-IF(DE37&lt;0,0,(DE36+DC37)*'Enter and Change Data Here'!$O$118/100)</f>
        <v>0</v>
      </c>
      <c r="DF38" s="198"/>
      <c r="DG38" s="3"/>
      <c r="DH38" s="198"/>
    </row>
    <row r="39" spans="2:112" ht="12.75">
      <c r="B39" s="3"/>
      <c r="C39" s="2" t="s">
        <v>174</v>
      </c>
      <c r="D39" s="2"/>
      <c r="E39" s="2"/>
      <c r="F39" s="2"/>
      <c r="G39" s="150" t="str">
        <f>CONCATENATE("(",'Enter and Change Data Here'!$G$13,")")</f>
        <v>($US)</v>
      </c>
      <c r="H39" s="32"/>
      <c r="I39" s="6">
        <f>-ROUND((I35*'Enter and Change Data Here'!$O$118/100+'Cash Flow'!I38),6)</f>
        <v>1200000</v>
      </c>
      <c r="J39" s="2"/>
      <c r="K39" s="6">
        <f>-ROUND((K35*'Enter and Change Data Here'!$O$118/100+'Cash Flow'!K38),6)</f>
        <v>-1463940.515254</v>
      </c>
      <c r="L39" s="2"/>
      <c r="M39" s="6">
        <f>-ROUND((M35*'Enter and Change Data Here'!$O$118/100+'Cash Flow'!M38),6)</f>
        <v>-2284480.658173</v>
      </c>
      <c r="N39" s="2"/>
      <c r="O39" s="6">
        <f>-ROUND((O35*'Enter and Change Data Here'!$O$118/100+'Cash Flow'!O38),6)</f>
        <v>-2782799.767257</v>
      </c>
      <c r="P39" s="2"/>
      <c r="Q39" s="6">
        <f>-ROUND((Q35*'Enter and Change Data Here'!$O$118/100+'Cash Flow'!Q38),6)</f>
        <v>-2942187.877998</v>
      </c>
      <c r="R39" s="2"/>
      <c r="S39" s="6">
        <f>-ROUND((S35*'Enter and Change Data Here'!$O$118/100+'Cash Flow'!S38),6)</f>
        <v>-3107116.290924</v>
      </c>
      <c r="T39" s="2"/>
      <c r="U39" s="6">
        <f>-ROUND((U35*'Enter and Change Data Here'!$O$118/100+'Cash Flow'!U38),6)</f>
        <v>-3277889.097365</v>
      </c>
      <c r="V39" s="2"/>
      <c r="W39" s="6">
        <f>-ROUND((W35*'Enter and Change Data Here'!$O$118/100+'Cash Flow'!W38),6)</f>
        <v>-3454834.064622</v>
      </c>
      <c r="X39" s="2"/>
      <c r="Y39" s="6">
        <f>-ROUND((Y35*'Enter and Change Data Here'!$O$118/100+'Cash Flow'!Y38),6)</f>
        <v>-3383531.389424</v>
      </c>
      <c r="Z39" s="2"/>
      <c r="AA39" s="6">
        <f>-ROUND((AA35*'Enter and Change Data Here'!$O$118/100+'Cash Flow'!AA38),6)</f>
        <v>1791398.305085</v>
      </c>
      <c r="AB39" s="2"/>
      <c r="AC39" s="6">
        <f>-ROUND((AC35*'Enter and Change Data Here'!$O$118/100+'Cash Flow'!AC38),6)</f>
        <v>1791398.305085</v>
      </c>
      <c r="AD39" s="32"/>
      <c r="AE39" s="6">
        <f>-ROUND((AE35*'Enter and Change Data Here'!$O$118/100+'Cash Flow'!AE38),6)</f>
        <v>1791398.305085</v>
      </c>
      <c r="AF39" s="2"/>
      <c r="AG39" s="6">
        <f>-ROUND((AG35*'Enter and Change Data Here'!$O$118/100+'Cash Flow'!AG38),6)</f>
        <v>1791398.305085</v>
      </c>
      <c r="AH39" s="2"/>
      <c r="AI39" s="6">
        <f>-ROUND((AI35*'Enter and Change Data Here'!$O$118/100+'Cash Flow'!AI38),6)</f>
        <v>1791398.305085</v>
      </c>
      <c r="AJ39" s="2"/>
      <c r="AK39" s="6">
        <f>-ROUND((AK35*'Enter and Change Data Here'!$O$118/100+'Cash Flow'!AK38),6)</f>
        <v>1791398.305085</v>
      </c>
      <c r="AL39" s="2"/>
      <c r="AM39" s="6">
        <f>-ROUND((AM35*'Enter and Change Data Here'!$O$118/100+'Cash Flow'!AM38),6)</f>
        <v>1791398.305085</v>
      </c>
      <c r="AN39" s="2"/>
      <c r="AO39" s="6">
        <f>-ROUND((AO35*'Enter and Change Data Here'!$O$118/100+'Cash Flow'!AO38),6)</f>
        <v>1791398.305085</v>
      </c>
      <c r="AP39" s="2"/>
      <c r="AQ39" s="6">
        <f>-ROUND((AQ35*'Enter and Change Data Here'!$O$118/100+'Cash Flow'!AQ38),6)</f>
        <v>1791398.305085</v>
      </c>
      <c r="AR39" s="2"/>
      <c r="AS39" s="6">
        <f>-ROUND((AS35*'Enter and Change Data Here'!$O$118/100+'Cash Flow'!AS38),6)</f>
        <v>1791398.305085</v>
      </c>
      <c r="AT39" s="2"/>
      <c r="AU39" s="6">
        <f>-ROUND((AU35*'Enter and Change Data Here'!$O$118/100+'Cash Flow'!AU38),6)</f>
        <v>1791398.305085</v>
      </c>
      <c r="AV39" s="2"/>
      <c r="AW39" s="6">
        <f>-ROUND((AW35*'Enter and Change Data Here'!$O$118/100+'Cash Flow'!AW38),6)</f>
        <v>1791398.305085</v>
      </c>
      <c r="AX39" s="32"/>
      <c r="AY39" s="6">
        <f>-ROUND((AY35*'Enter and Change Data Here'!$O$118/100+'Cash Flow'!AY38),6)</f>
        <v>0</v>
      </c>
      <c r="AZ39" s="2"/>
      <c r="BA39" s="6">
        <f>-ROUND((BA35*'Enter and Change Data Here'!$O$118/100+'Cash Flow'!BA38),6)</f>
        <v>0</v>
      </c>
      <c r="BB39" s="2"/>
      <c r="BC39" s="6">
        <f>-ROUND((BC35*'Enter and Change Data Here'!$O$118/100+'Cash Flow'!BC38),6)</f>
        <v>0</v>
      </c>
      <c r="BD39" s="2"/>
      <c r="BE39" s="6">
        <f>-ROUND((BE35*'Enter and Change Data Here'!$O$118/100+'Cash Flow'!BE38),6)</f>
        <v>0</v>
      </c>
      <c r="BF39" s="2"/>
      <c r="BG39" s="6">
        <f>-ROUND((BG35*'Enter and Change Data Here'!$O$118/100+'Cash Flow'!BG38),6)</f>
        <v>0</v>
      </c>
      <c r="BH39" s="2"/>
      <c r="BI39" s="6">
        <f>-ROUND((BI35*'Enter and Change Data Here'!$O$118/100+'Cash Flow'!BI38),6)</f>
        <v>0</v>
      </c>
      <c r="BJ39" s="2"/>
      <c r="BK39" s="6">
        <f>-ROUND((BK35*'Enter and Change Data Here'!$O$118/100+'Cash Flow'!BK38),6)</f>
        <v>0</v>
      </c>
      <c r="BL39" s="2"/>
      <c r="BM39" s="6">
        <f>-ROUND((BM35*'Enter and Change Data Here'!$O$118/100+'Cash Flow'!BM38),6)</f>
        <v>0</v>
      </c>
      <c r="BN39" s="2"/>
      <c r="BO39" s="6">
        <f>-ROUND((BO35*'Enter and Change Data Here'!$O$118/100+'Cash Flow'!BO38),6)</f>
        <v>0</v>
      </c>
      <c r="BP39" s="2"/>
      <c r="BQ39" s="6">
        <f>-ROUND((BQ35*'Enter and Change Data Here'!$O$118/100+'Cash Flow'!BQ38),6)</f>
        <v>0</v>
      </c>
      <c r="BR39" s="32"/>
      <c r="BS39" s="6">
        <f>-ROUND((BS35*'Enter and Change Data Here'!$O$118/100+'Cash Flow'!BS38),6)</f>
        <v>0</v>
      </c>
      <c r="BT39" s="2"/>
      <c r="BU39" s="6">
        <f>-ROUND((BU35*'Enter and Change Data Here'!$O$118/100+'Cash Flow'!BU38),6)</f>
        <v>0</v>
      </c>
      <c r="BV39" s="2"/>
      <c r="BW39" s="6">
        <f>-ROUND((BW35*'Enter and Change Data Here'!$O$118/100+'Cash Flow'!BW38),6)</f>
        <v>0</v>
      </c>
      <c r="BX39" s="2"/>
      <c r="BY39" s="6">
        <f>-ROUND((BY35*'Enter and Change Data Here'!$O$118/100+'Cash Flow'!BY38),6)</f>
        <v>0</v>
      </c>
      <c r="BZ39" s="2"/>
      <c r="CA39" s="6">
        <f>-ROUND((CA35*'Enter and Change Data Here'!$O$118/100+'Cash Flow'!CA38),6)</f>
        <v>0</v>
      </c>
      <c r="CB39" s="2"/>
      <c r="CC39" s="6">
        <f>-ROUND((CC35*'Enter and Change Data Here'!$O$118/100+'Cash Flow'!CC38),6)</f>
        <v>0</v>
      </c>
      <c r="CD39" s="2"/>
      <c r="CE39" s="6">
        <f>-ROUND((CE35*'Enter and Change Data Here'!$O$118/100+'Cash Flow'!CE38),6)</f>
        <v>0</v>
      </c>
      <c r="CF39" s="2"/>
      <c r="CG39" s="6">
        <f>-ROUND((CG35*'Enter and Change Data Here'!$O$118/100+'Cash Flow'!CG38),6)</f>
        <v>0</v>
      </c>
      <c r="CH39" s="2"/>
      <c r="CI39" s="6">
        <f>-ROUND((CI35*'Enter and Change Data Here'!$O$118/100+'Cash Flow'!CI38),6)</f>
        <v>0</v>
      </c>
      <c r="CJ39" s="2"/>
      <c r="CK39" s="6">
        <f>-ROUND((CK35*'Enter and Change Data Here'!$O$118/100+'Cash Flow'!CK38),6)</f>
        <v>0</v>
      </c>
      <c r="CL39" s="32"/>
      <c r="CM39" s="6">
        <f>-ROUND((CM35*'Enter and Change Data Here'!$O$118/100+'Cash Flow'!CM38),6)</f>
        <v>0</v>
      </c>
      <c r="CN39" s="2"/>
      <c r="CO39" s="6">
        <f>-ROUND((CO35*'Enter and Change Data Here'!$O$118/100+'Cash Flow'!CO38),6)</f>
        <v>0</v>
      </c>
      <c r="CP39" s="2"/>
      <c r="CQ39" s="6">
        <f>-ROUND((CQ35*'Enter and Change Data Here'!$O$118/100+'Cash Flow'!CQ38),6)</f>
        <v>0</v>
      </c>
      <c r="CR39" s="2"/>
      <c r="CS39" s="6">
        <f>-ROUND((CS35*'Enter and Change Data Here'!$O$118/100+'Cash Flow'!CS38),6)</f>
        <v>0</v>
      </c>
      <c r="CT39" s="2"/>
      <c r="CU39" s="6">
        <f>-ROUND((CU35*'Enter and Change Data Here'!$O$118/100+'Cash Flow'!CU38),6)</f>
        <v>0</v>
      </c>
      <c r="CV39" s="2"/>
      <c r="CW39" s="6">
        <f>-ROUND((CW35*'Enter and Change Data Here'!$O$118/100+'Cash Flow'!CW38),6)</f>
        <v>0</v>
      </c>
      <c r="CX39" s="2"/>
      <c r="CY39" s="6">
        <f>-ROUND((CY35*'Enter and Change Data Here'!$O$118/100+'Cash Flow'!CY38),6)</f>
        <v>0</v>
      </c>
      <c r="CZ39" s="2"/>
      <c r="DA39" s="6">
        <f>-ROUND((DA35*'Enter and Change Data Here'!$O$118/100+'Cash Flow'!DA38),6)</f>
        <v>0</v>
      </c>
      <c r="DB39" s="2"/>
      <c r="DC39" s="6">
        <f>-ROUND((DC35*'Enter and Change Data Here'!$O$118/100+'Cash Flow'!DC38),6)</f>
        <v>0</v>
      </c>
      <c r="DD39" s="2"/>
      <c r="DE39" s="6">
        <f>-ROUND((DE35*'Enter and Change Data Here'!$O$118/100+'Cash Flow'!DE38),6)</f>
        <v>0</v>
      </c>
      <c r="DF39" s="198"/>
      <c r="DG39" s="3"/>
      <c r="DH39" s="198"/>
    </row>
    <row r="40" spans="2:112" ht="12.75">
      <c r="B40" s="3"/>
      <c r="C40" s="2" t="s">
        <v>178</v>
      </c>
      <c r="D40" s="2"/>
      <c r="E40" s="2"/>
      <c r="F40" s="2"/>
      <c r="G40" s="150" t="str">
        <f>CONCATENATE("(",'Enter and Change Data Here'!$G$13,")")</f>
        <v>($US)</v>
      </c>
      <c r="H40" s="32"/>
      <c r="I40" s="6">
        <f>I35+I38+I39</f>
        <v>-1800000</v>
      </c>
      <c r="J40" s="2"/>
      <c r="K40" s="6">
        <f>K35+K38+K39</f>
        <v>2195910.7728815926</v>
      </c>
      <c r="L40" s="2"/>
      <c r="M40" s="6">
        <f>M35+M38+M39</f>
        <v>3426720.9872606318</v>
      </c>
      <c r="N40" s="2"/>
      <c r="O40" s="6">
        <f>O35+O38+O39</f>
        <v>4174199.650885939</v>
      </c>
      <c r="P40" s="2"/>
      <c r="Q40" s="6">
        <f>Q35+Q38+Q39</f>
        <v>4413281.816997603</v>
      </c>
      <c r="R40" s="2"/>
      <c r="S40" s="6">
        <f>S35+S38+S39</f>
        <v>4660674.436385319</v>
      </c>
      <c r="T40" s="2"/>
      <c r="U40" s="6">
        <f>U35+U38+U39</f>
        <v>4916833.6460464</v>
      </c>
      <c r="V40" s="2"/>
      <c r="W40" s="6">
        <f>W35+W38+W39</f>
        <v>5182251.096931815</v>
      </c>
      <c r="X40" s="2"/>
      <c r="Y40" s="6">
        <f>Y35+Y38+Y39</f>
        <v>5457457.053900391</v>
      </c>
      <c r="Z40" s="2"/>
      <c r="AA40" s="6">
        <f>AA35+AA38+AA39</f>
        <v>5739966.493355382</v>
      </c>
      <c r="AB40" s="2"/>
      <c r="AC40" s="6">
        <f>AC35+AC38+AC39</f>
        <v>5969034.244863756</v>
      </c>
      <c r="AD40" s="32"/>
      <c r="AE40" s="6">
        <f>AE35+AE38+AE39</f>
        <v>6206566.198431108</v>
      </c>
      <c r="AF40" s="2"/>
      <c r="AG40" s="6">
        <f>AG35+AG38+AG39</f>
        <v>6453152.655311435</v>
      </c>
      <c r="AH40" s="2"/>
      <c r="AI40" s="6">
        <f>AI35+AI38+AI39</f>
        <v>6709435.376418812</v>
      </c>
      <c r="AJ40" s="2"/>
      <c r="AK40" s="6">
        <f>AK35+AK38+AK39</f>
        <v>6976112.21052628</v>
      </c>
      <c r="AL40" s="2"/>
      <c r="AM40" s="6">
        <f>AM35+AM38+AM39</f>
        <v>7253942.139391754</v>
      </c>
      <c r="AN40" s="2"/>
      <c r="AO40" s="6">
        <f>AO35+AO38+AO39</f>
        <v>7543750.777348418</v>
      </c>
      <c r="AP40" s="2"/>
      <c r="AQ40" s="6">
        <f>AQ35+AQ38+AQ39</f>
        <v>7846436.366275949</v>
      </c>
      <c r="AR40" s="2"/>
      <c r="AS40" s="6">
        <f>AS35+AS38+AS39</f>
        <v>8162976.3105516285</v>
      </c>
      <c r="AT40" s="2"/>
      <c r="AU40" s="6">
        <f>AU35+AU38+AU39</f>
        <v>8494434.300594855</v>
      </c>
      <c r="AV40" s="2"/>
      <c r="AW40" s="6">
        <f>AW35+AW38+AW39</f>
        <v>8841968.077994067</v>
      </c>
      <c r="AX40" s="32"/>
      <c r="AY40" s="6">
        <f>AY35+AY38+AY39</f>
        <v>11893935.357601352</v>
      </c>
      <c r="AZ40" s="2"/>
      <c r="BA40" s="6">
        <f>BA35+BA38+BA39</f>
        <v>12105308.950157685</v>
      </c>
      <c r="BB40" s="2"/>
      <c r="BC40" s="6">
        <f>BC35+BC38+BC39</f>
        <v>12319319.550730165</v>
      </c>
      <c r="BD40" s="2"/>
      <c r="BE40" s="6">
        <f>BE35+BE38+BE39</f>
        <v>12535988.089888493</v>
      </c>
      <c r="BF40" s="2"/>
      <c r="BG40" s="6">
        <f>BG35+BG38+BG39</f>
        <v>12755335.40785844</v>
      </c>
      <c r="BH40" s="2"/>
      <c r="BI40" s="6">
        <f>BI35+BI38+BI39</f>
        <v>0</v>
      </c>
      <c r="BJ40" s="2"/>
      <c r="BK40" s="6">
        <f>BK35+BK38+BK39</f>
        <v>0</v>
      </c>
      <c r="BL40" s="2"/>
      <c r="BM40" s="6">
        <f>BM35+BM38+BM39</f>
        <v>0</v>
      </c>
      <c r="BN40" s="2"/>
      <c r="BO40" s="6">
        <f>BO35+BO38+BO39</f>
        <v>0</v>
      </c>
      <c r="BP40" s="2"/>
      <c r="BQ40" s="6">
        <f>BQ35+BQ38+BQ39</f>
        <v>0</v>
      </c>
      <c r="BR40" s="32"/>
      <c r="BS40" s="6">
        <f>BS35+BS38+BS39</f>
        <v>0</v>
      </c>
      <c r="BT40" s="2"/>
      <c r="BU40" s="6">
        <f>BU35+BU38+BU39</f>
        <v>0</v>
      </c>
      <c r="BV40" s="2"/>
      <c r="BW40" s="6">
        <f>BW35+BW38+BW39</f>
        <v>0</v>
      </c>
      <c r="BX40" s="2"/>
      <c r="BY40" s="6">
        <f>BY35+BY38+BY39</f>
        <v>0</v>
      </c>
      <c r="BZ40" s="2"/>
      <c r="CA40" s="6">
        <f>CA35+CA38+CA39</f>
        <v>0</v>
      </c>
      <c r="CB40" s="2"/>
      <c r="CC40" s="6">
        <f>CC35+CC38+CC39</f>
        <v>0</v>
      </c>
      <c r="CD40" s="2"/>
      <c r="CE40" s="6">
        <f>CE35+CE38+CE39</f>
        <v>0</v>
      </c>
      <c r="CF40" s="2"/>
      <c r="CG40" s="6">
        <f>CG35+CG38+CG39</f>
        <v>0</v>
      </c>
      <c r="CH40" s="2"/>
      <c r="CI40" s="6">
        <f>CI35+CI38+CI39</f>
        <v>0</v>
      </c>
      <c r="CJ40" s="2"/>
      <c r="CK40" s="6">
        <f>CK35+CK38+CK39</f>
        <v>0</v>
      </c>
      <c r="CL40" s="32"/>
      <c r="CM40" s="6">
        <f>CM35+CM38+CM39</f>
        <v>0</v>
      </c>
      <c r="CN40" s="2"/>
      <c r="CO40" s="6">
        <f>CO35+CO38+CO39</f>
        <v>0</v>
      </c>
      <c r="CP40" s="2"/>
      <c r="CQ40" s="6">
        <f>CQ35+CQ38+CQ39</f>
        <v>0</v>
      </c>
      <c r="CR40" s="2"/>
      <c r="CS40" s="6">
        <f>CS35+CS38+CS39</f>
        <v>0</v>
      </c>
      <c r="CT40" s="2"/>
      <c r="CU40" s="6">
        <f>CU35+CU38+CU39</f>
        <v>0</v>
      </c>
      <c r="CV40" s="2"/>
      <c r="CW40" s="6">
        <f>CW35+CW38+CW39</f>
        <v>0</v>
      </c>
      <c r="CX40" s="2"/>
      <c r="CY40" s="6">
        <f>CY35+CY38+CY39</f>
        <v>0</v>
      </c>
      <c r="CZ40" s="2"/>
      <c r="DA40" s="6">
        <f>DA35+DA38+DA39</f>
        <v>0</v>
      </c>
      <c r="DB40" s="2"/>
      <c r="DC40" s="6">
        <f>DC35+DC38+DC39</f>
        <v>0</v>
      </c>
      <c r="DD40" s="2"/>
      <c r="DE40" s="6">
        <f>DE35+DE38+DE39</f>
        <v>0</v>
      </c>
      <c r="DF40" s="198"/>
      <c r="DG40" s="3"/>
      <c r="DH40" s="198"/>
    </row>
    <row r="41" spans="2:112" ht="12.75">
      <c r="B41" s="3"/>
      <c r="C41" s="2" t="s">
        <v>175</v>
      </c>
      <c r="D41" s="2"/>
      <c r="E41" s="2"/>
      <c r="F41" s="2"/>
      <c r="G41" s="150" t="str">
        <f>CONCATENATE("(",'Enter and Change Data Here'!$G$13,")")</f>
        <v>($US)</v>
      </c>
      <c r="H41" s="32"/>
      <c r="I41" s="162">
        <f>I19</f>
        <v>-56141949.152542375</v>
      </c>
      <c r="J41" s="163"/>
      <c r="K41" s="162">
        <f>K5+K7+K8+K33+K10+K38</f>
        <v>7406762.246831825</v>
      </c>
      <c r="L41" s="163"/>
      <c r="M41" s="162">
        <f>M5+M7+M8+M33+M10+M38</f>
        <v>9392269.971768457</v>
      </c>
      <c r="N41" s="163"/>
      <c r="O41" s="162">
        <f>O5+O7+O8+O33+O10+O38</f>
        <v>10566299.275203831</v>
      </c>
      <c r="P41" s="163"/>
      <c r="Q41" s="162">
        <f>Q5+Q7+Q8+Q33+Q10+Q38</f>
        <v>10886541.920547908</v>
      </c>
      <c r="R41" s="163"/>
      <c r="S41" s="162">
        <f>S5+S7+S8+S33+S10+S38</f>
        <v>11213594.834517265</v>
      </c>
      <c r="T41" s="163"/>
      <c r="U41" s="162">
        <f>U5+U7+U8+U33+U10+U38</f>
        <v>11547584.601623993</v>
      </c>
      <c r="V41" s="163"/>
      <c r="W41" s="162">
        <f>W5+W7+W8+W33+W10+W38</f>
        <v>11888639.968361473</v>
      </c>
      <c r="X41" s="163"/>
      <c r="Y41" s="162">
        <f>Y5+Y7+Y8+Y33+Y10+Y38</f>
        <v>11982118.564100672</v>
      </c>
      <c r="Z41" s="163"/>
      <c r="AA41" s="162">
        <f>AA5+AA7+AA8+AA33+AA10+AA38</f>
        <v>6969335.40127246</v>
      </c>
      <c r="AB41" s="163"/>
      <c r="AC41" s="162">
        <f>AC5+AC7+AC8+AC33+AC10+AC38</f>
        <v>7067207.583306954</v>
      </c>
      <c r="AD41" s="32"/>
      <c r="AE41" s="162">
        <f>AE5+AE7+AE8+AE33+AE10+AE38</f>
        <v>7161736.366147777</v>
      </c>
      <c r="AF41" s="163"/>
      <c r="AG41" s="162">
        <f>AG5+AG7+AG8+AG33+AG10+AG38</f>
        <v>7252449.366936186</v>
      </c>
      <c r="AH41" s="163"/>
      <c r="AI41" s="162">
        <f>AI5+AI7+AI8+AI33+AI10+AI38</f>
        <v>7338830.020903372</v>
      </c>
      <c r="AJ41" s="163"/>
      <c r="AK41" s="162">
        <f>AK5+AK7+AK8+AK33+AK10+AK38</f>
        <v>7420313.601828034</v>
      </c>
      <c r="AL41" s="163"/>
      <c r="AM41" s="162">
        <f>AM5+AM7+AM8+AM33+AM10+AM38</f>
        <v>7496282.884724247</v>
      </c>
      <c r="AN41" s="163"/>
      <c r="AO41" s="162">
        <f>AO5+AO7+AO8+AO33+AO10+AO38</f>
        <v>7566063.418574418</v>
      </c>
      <c r="AP41" s="163"/>
      <c r="AQ41" s="162">
        <f>AQ5+AQ7+AQ8+AQ33+AQ10+AQ38</f>
        <v>7628918.374025873</v>
      </c>
      <c r="AR41" s="163"/>
      <c r="AS41" s="162">
        <f>AS5+AS7+AS8+AS33+AS10+AS38</f>
        <v>7684042.927812627</v>
      </c>
      <c r="AT41" s="163"/>
      <c r="AU41" s="162">
        <f>AU5+AU7+AU8+AU33+AU10+AU38</f>
        <v>7730558.142222926</v>
      </c>
      <c r="AV41" s="163"/>
      <c r="AW41" s="162">
        <f>AW5+AW7+AW8+AW33+AW10+AW38</f>
        <v>7767504.294182246</v>
      </c>
      <c r="AX41" s="32"/>
      <c r="AY41" s="162">
        <f>AY5+AY7+AY8+AY33+AY10+AY38</f>
        <v>11893935.357601352</v>
      </c>
      <c r="AZ41" s="163"/>
      <c r="BA41" s="162">
        <f>BA5+BA7+BA8+BA33+BA10+BA38</f>
        <v>12105308.950157685</v>
      </c>
      <c r="BB41" s="163"/>
      <c r="BC41" s="162">
        <f>BC5+BC7+BC8+BC33+BC10+BC38</f>
        <v>12319319.550730165</v>
      </c>
      <c r="BD41" s="163"/>
      <c r="BE41" s="162">
        <f>BE5+BE7+BE8+BE33+BE10+BE38</f>
        <v>12535988.089888493</v>
      </c>
      <c r="BF41" s="163"/>
      <c r="BG41" s="162">
        <f>BG5+BG7+BG8+BG33+BG10+BG38</f>
        <v>12755335.40785844</v>
      </c>
      <c r="BH41" s="163"/>
      <c r="BI41" s="162">
        <f>BI5+BI7+BI8+BI33+BI10+BI38</f>
        <v>0</v>
      </c>
      <c r="BJ41" s="163"/>
      <c r="BK41" s="162">
        <f>BK5+BK7+BK8+BK33+BK10+BK38</f>
        <v>0</v>
      </c>
      <c r="BL41" s="163"/>
      <c r="BM41" s="162">
        <f>BM5+BM7+BM8+BM33+BM10+BM38</f>
        <v>0</v>
      </c>
      <c r="BN41" s="163"/>
      <c r="BO41" s="162">
        <f>BO5+BO7+BO8+BO33+BO10+BO38</f>
        <v>0</v>
      </c>
      <c r="BP41" s="163"/>
      <c r="BQ41" s="162">
        <f>BQ5+BQ7+BQ8+BQ33+BQ10+BQ38</f>
        <v>0</v>
      </c>
      <c r="BR41" s="32"/>
      <c r="BS41" s="162">
        <f>BS5+BS7+BS8+BS33+BS10+BS38</f>
        <v>0</v>
      </c>
      <c r="BT41" s="163"/>
      <c r="BU41" s="162">
        <f>BU5+BU7+BU8+BU33+BU10+BU38</f>
        <v>0</v>
      </c>
      <c r="BV41" s="163"/>
      <c r="BW41" s="162">
        <f>BW5+BW7+BW8+BW33+BW10+BW38</f>
        <v>0</v>
      </c>
      <c r="BX41" s="163"/>
      <c r="BY41" s="162">
        <f>BY5+BY7+BY8+BY33+BY10+BY38</f>
        <v>0</v>
      </c>
      <c r="BZ41" s="163"/>
      <c r="CA41" s="162">
        <f>CA5+CA7+CA8+CA33+CA10+CA38</f>
        <v>0</v>
      </c>
      <c r="CB41" s="163"/>
      <c r="CC41" s="162">
        <f>CC5+CC7+CC8+CC33+CC10+CC38</f>
        <v>0</v>
      </c>
      <c r="CD41" s="163"/>
      <c r="CE41" s="162">
        <f>CE5+CE7+CE8+CE33+CE10+CE38</f>
        <v>0</v>
      </c>
      <c r="CF41" s="163"/>
      <c r="CG41" s="162">
        <f>CG5+CG7+CG8+CG33+CG10+CG38</f>
        <v>0</v>
      </c>
      <c r="CH41" s="163"/>
      <c r="CI41" s="162">
        <f>CI5+CI7+CI8+CI33+CI10+CI38</f>
        <v>0</v>
      </c>
      <c r="CJ41" s="163"/>
      <c r="CK41" s="162">
        <f>CK5+CK7+CK8+CK33+CK10+CK38</f>
        <v>0</v>
      </c>
      <c r="CL41" s="32"/>
      <c r="CM41" s="162">
        <f>CM5+CM7+CM8+CM33+CM10+CM38</f>
        <v>0</v>
      </c>
      <c r="CN41" s="163"/>
      <c r="CO41" s="162">
        <f>CO5+CO7+CO8+CO33+CO10+CO38</f>
        <v>0</v>
      </c>
      <c r="CP41" s="163"/>
      <c r="CQ41" s="162">
        <f>CQ5+CQ7+CQ8+CQ33+CQ10+CQ38</f>
        <v>0</v>
      </c>
      <c r="CR41" s="163"/>
      <c r="CS41" s="162">
        <f>CS5+CS7+CS8+CS33+CS10+CS38</f>
        <v>0</v>
      </c>
      <c r="CT41" s="163"/>
      <c r="CU41" s="162">
        <f>CU5+CU7+CU8+CU33+CU10+CU38</f>
        <v>0</v>
      </c>
      <c r="CV41" s="163"/>
      <c r="CW41" s="162">
        <f>CW5+CW7+CW8+CW33+CW10+CW38</f>
        <v>0</v>
      </c>
      <c r="CX41" s="163"/>
      <c r="CY41" s="162">
        <f>CY5+CY7+CY8+CY33+CY10+CY38</f>
        <v>0</v>
      </c>
      <c r="CZ41" s="163"/>
      <c r="DA41" s="162">
        <f>DA5+DA7+DA8+DA33+DA10+DA38</f>
        <v>0</v>
      </c>
      <c r="DB41" s="163"/>
      <c r="DC41" s="162">
        <f>DC5+DC7+DC8+DC33+DC10+DC38</f>
        <v>0</v>
      </c>
      <c r="DD41" s="163"/>
      <c r="DE41" s="162">
        <f>DE5+DE7+DE8+DE33+DE10+DE38</f>
        <v>0</v>
      </c>
      <c r="DF41" s="198"/>
      <c r="DG41" s="218">
        <f>IRR(I41:DE41,0.15)</f>
        <v>0.16499507325369162</v>
      </c>
      <c r="DH41" s="198"/>
    </row>
    <row r="42" spans="2:112" ht="12.75">
      <c r="B42" s="3"/>
      <c r="C42" s="2"/>
      <c r="D42" s="2"/>
      <c r="E42" s="2"/>
      <c r="F42" s="2"/>
      <c r="G42" s="2"/>
      <c r="H42" s="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3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3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198"/>
      <c r="DG42" s="219" t="s">
        <v>185</v>
      </c>
      <c r="DH42" s="198"/>
    </row>
    <row r="43" spans="2:112" ht="12.75">
      <c r="B43" s="3"/>
      <c r="C43" s="2" t="s">
        <v>88</v>
      </c>
      <c r="D43" s="2"/>
      <c r="E43" s="2"/>
      <c r="F43" s="2"/>
      <c r="G43" s="150" t="str">
        <f>CONCATENATE("(",'Enter and Change Data Here'!$G$13,")")</f>
        <v>($US)</v>
      </c>
      <c r="H43" s="32"/>
      <c r="I43" s="6">
        <f>'Enter and Change Data Here'!G136</f>
        <v>1000000</v>
      </c>
      <c r="J43" s="2"/>
      <c r="K43" s="6">
        <f>IF(K2&lt;='Enter and Change Data Here'!$G$26,I43+K41+K31,0)</f>
        <v>8406762.246831825</v>
      </c>
      <c r="L43" s="2"/>
      <c r="M43" s="6">
        <f>IF(M2&lt;='Enter and Change Data Here'!$G$26,K43+M41+M31,0)</f>
        <v>17799032.21860028</v>
      </c>
      <c r="N43" s="2"/>
      <c r="O43" s="6">
        <f>IF(O2&lt;='Enter and Change Data Here'!$G$26,M43+O41+O31,0)</f>
        <v>28365331.493804112</v>
      </c>
      <c r="P43" s="2"/>
      <c r="Q43" s="6">
        <f>IF(Q2&lt;='Enter and Change Data Here'!$G$26,O43+Q41+Q31,0)</f>
        <v>39251873.41435202</v>
      </c>
      <c r="R43" s="2"/>
      <c r="S43" s="6">
        <f>IF(S2&lt;='Enter and Change Data Here'!$G$26,Q43+S41+S31,0)</f>
        <v>50465468.248869285</v>
      </c>
      <c r="T43" s="2"/>
      <c r="U43" s="6">
        <f>IF(U2&lt;='Enter and Change Data Here'!$G$26,S43+U41+U31,0)</f>
        <v>62013052.85049328</v>
      </c>
      <c r="V43" s="2"/>
      <c r="W43" s="6">
        <f>IF(W2&lt;='Enter and Change Data Here'!$G$26,U43+W41+W31,0)</f>
        <v>73901692.81885475</v>
      </c>
      <c r="X43" s="2"/>
      <c r="Y43" s="6">
        <f>IF(Y2&lt;='Enter and Change Data Here'!$G$26,W43+Y41+Y31,0)</f>
        <v>85883811.38295542</v>
      </c>
      <c r="Z43" s="2"/>
      <c r="AA43" s="6">
        <f>IF(AA2&lt;='Enter and Change Data Here'!$G$26,Y43+AA41+AA31,0)</f>
        <v>92853146.78422788</v>
      </c>
      <c r="AB43" s="2"/>
      <c r="AC43" s="6">
        <f>IF(AC2&lt;='Enter and Change Data Here'!$G$26,AA43+AC41+AC31,0)</f>
        <v>99920354.36753483</v>
      </c>
      <c r="AD43" s="32"/>
      <c r="AE43" s="6">
        <f>IF(AE2&lt;='Enter and Change Data Here'!$G$26,AC43+AE41+AE31,0)</f>
        <v>107082090.7336826</v>
      </c>
      <c r="AF43" s="2"/>
      <c r="AG43" s="6">
        <f>IF(AG2&lt;='Enter and Change Data Here'!$G$26,AE43+AG41+AG31,0)</f>
        <v>114334540.1006188</v>
      </c>
      <c r="AH43" s="2"/>
      <c r="AI43" s="6">
        <f>IF(AI2&lt;='Enter and Change Data Here'!$G$26,AG43+AI41+AI31,0)</f>
        <v>121673370.12152217</v>
      </c>
      <c r="AJ43" s="2"/>
      <c r="AK43" s="6">
        <f>IF(AK2&lt;='Enter and Change Data Here'!$G$26,AI43+AK41+AK31,0)</f>
        <v>129093683.72335021</v>
      </c>
      <c r="AL43" s="2"/>
      <c r="AM43" s="6">
        <f>IF(AM2&lt;='Enter and Change Data Here'!$G$26,AK43+AM41+AM31,0)</f>
        <v>136589966.60807446</v>
      </c>
      <c r="AN43" s="2"/>
      <c r="AO43" s="6">
        <f>IF(AO2&lt;='Enter and Change Data Here'!$G$26,AM43+AO41+AO31,0)</f>
        <v>144156030.02664888</v>
      </c>
      <c r="AP43" s="2"/>
      <c r="AQ43" s="6">
        <f>IF(AQ2&lt;='Enter and Change Data Here'!$G$26,AO43+AQ41+AQ31,0)</f>
        <v>151784948.40067476</v>
      </c>
      <c r="AR43" s="2"/>
      <c r="AS43" s="6">
        <f>IF(AS2&lt;='Enter and Change Data Here'!$G$26,AQ43+AS41+AS31,0)</f>
        <v>159468991.3284874</v>
      </c>
      <c r="AT43" s="2"/>
      <c r="AU43" s="6">
        <f>IF(AU2&lt;='Enter and Change Data Here'!$G$26,AS43+AU41+AU31,0)</f>
        <v>167199549.47071034</v>
      </c>
      <c r="AV43" s="2"/>
      <c r="AW43" s="6">
        <f>IF(AW2&lt;='Enter and Change Data Here'!$G$26,AU43+AW41+AW31,0)</f>
        <v>174967053.76489258</v>
      </c>
      <c r="AX43" s="32"/>
      <c r="AY43" s="6">
        <f>IF(AY2&lt;='Enter and Change Data Here'!$G$26,AW43+AY41+AY31,0)</f>
        <v>186860989.12249392</v>
      </c>
      <c r="AZ43" s="2"/>
      <c r="BA43" s="6">
        <f>IF(BA2&lt;='Enter and Change Data Here'!$G$26,AY43+BA41+BA31,0)</f>
        <v>198966298.0726516</v>
      </c>
      <c r="BB43" s="2"/>
      <c r="BC43" s="6">
        <f>IF(BC2&lt;='Enter and Change Data Here'!$G$26,BA43+BC41+BC31,0)</f>
        <v>211285617.62338176</v>
      </c>
      <c r="BD43" s="2"/>
      <c r="BE43" s="6">
        <f>IF(BE2&lt;='Enter and Change Data Here'!$G$26,BC43+BE41+BE31,0)</f>
        <v>223821605.71327025</v>
      </c>
      <c r="BF43" s="2"/>
      <c r="BG43" s="6">
        <f>IF(BG2&lt;='Enter and Change Data Here'!$G$26,BE43+BG41+BG31,0)</f>
        <v>236576941.12112868</v>
      </c>
      <c r="BH43" s="2"/>
      <c r="BI43" s="6">
        <f>IF(BI2&lt;='Enter and Change Data Here'!$G$26,BG43+BI41+BI31,0)</f>
        <v>0</v>
      </c>
      <c r="BJ43" s="2"/>
      <c r="BK43" s="6">
        <f>IF(BK2&lt;='Enter and Change Data Here'!$G$26,BI43+BK41+BK31,0)</f>
        <v>0</v>
      </c>
      <c r="BL43" s="2"/>
      <c r="BM43" s="6">
        <f>IF(BM2&lt;='Enter and Change Data Here'!$G$26,BK43+BM41+BM31,0)</f>
        <v>0</v>
      </c>
      <c r="BN43" s="2"/>
      <c r="BO43" s="6">
        <f>IF(BO2&lt;='Enter and Change Data Here'!$G$26,BM43+BO41+BO31,0)</f>
        <v>0</v>
      </c>
      <c r="BP43" s="2"/>
      <c r="BQ43" s="6">
        <f>IF(BQ2&lt;='Enter and Change Data Here'!$G$26,BO43+BQ41+BQ31,0)</f>
        <v>0</v>
      </c>
      <c r="BR43" s="32"/>
      <c r="BS43" s="6">
        <f>IF(BS2&lt;='Enter and Change Data Here'!$G$26,BQ43+BS41+BS31,0)</f>
        <v>0</v>
      </c>
      <c r="BT43" s="2"/>
      <c r="BU43" s="6">
        <f>IF(BU2&lt;='Enter and Change Data Here'!$G$26,BS43+BU41+BU31,0)</f>
        <v>0</v>
      </c>
      <c r="BV43" s="2"/>
      <c r="BW43" s="6">
        <f>IF(BW2&lt;='Enter and Change Data Here'!$G$26,BU43+BW41+BW31,0)</f>
        <v>0</v>
      </c>
      <c r="BX43" s="2"/>
      <c r="BY43" s="6">
        <f>IF(BY2&lt;='Enter and Change Data Here'!$G$26,BW43+BY41+BY31,0)</f>
        <v>0</v>
      </c>
      <c r="BZ43" s="2"/>
      <c r="CA43" s="6">
        <f>IF(CA2&lt;='Enter and Change Data Here'!$G$26,BY43+CA41+CA31,0)</f>
        <v>0</v>
      </c>
      <c r="CB43" s="2"/>
      <c r="CC43" s="6">
        <f>IF(CC2&lt;='Enter and Change Data Here'!$G$26,CA43+CC41+CC31,0)</f>
        <v>0</v>
      </c>
      <c r="CD43" s="2"/>
      <c r="CE43" s="6">
        <f>IF(CE2&lt;='Enter and Change Data Here'!$G$26,CC43+CE41+CE31,0)</f>
        <v>0</v>
      </c>
      <c r="CF43" s="2"/>
      <c r="CG43" s="6">
        <f>IF(CG2&lt;='Enter and Change Data Here'!$G$26,CE43+CG41+CG31,0)</f>
        <v>0</v>
      </c>
      <c r="CH43" s="2"/>
      <c r="CI43" s="6">
        <f>IF(CI2&lt;='Enter and Change Data Here'!$G$26,CG43+CI41+CI31,0)</f>
        <v>0</v>
      </c>
      <c r="CJ43" s="2"/>
      <c r="CK43" s="6">
        <f>IF(CK2&lt;='Enter and Change Data Here'!$G$26,CI43+CK41+CK31,0)</f>
        <v>0</v>
      </c>
      <c r="CL43" s="32"/>
      <c r="CM43" s="6">
        <f>IF(CM2&lt;='Enter and Change Data Here'!$G$26,CK43+CM41+CM31,0)</f>
        <v>0</v>
      </c>
      <c r="CN43" s="2"/>
      <c r="CO43" s="6">
        <f>IF(CO2&lt;='Enter and Change Data Here'!$G$26,CM43+CO41+CO31,0)</f>
        <v>0</v>
      </c>
      <c r="CP43" s="2"/>
      <c r="CQ43" s="6">
        <f>IF(CQ2&lt;='Enter and Change Data Here'!$G$26,CO43+CQ41+CQ31,0)</f>
        <v>0</v>
      </c>
      <c r="CR43" s="2"/>
      <c r="CS43" s="6">
        <f>IF(CS2&lt;='Enter and Change Data Here'!$G$26,CQ43+CS41+CS31,0)</f>
        <v>0</v>
      </c>
      <c r="CT43" s="2"/>
      <c r="CU43" s="6">
        <f>IF(CU2&lt;='Enter and Change Data Here'!$G$26,CS43+CU41+CU31,0)</f>
        <v>0</v>
      </c>
      <c r="CV43" s="2"/>
      <c r="CW43" s="6">
        <f>IF(CW2&lt;='Enter and Change Data Here'!$G$26,CU43+CW41+CW31,0)</f>
        <v>0</v>
      </c>
      <c r="CX43" s="2"/>
      <c r="CY43" s="6">
        <f>IF(CY2&lt;='Enter and Change Data Here'!$G$26,CW43+CY41+CY31,0)</f>
        <v>0</v>
      </c>
      <c r="CZ43" s="2"/>
      <c r="DA43" s="6">
        <f>IF(DA2&lt;='Enter and Change Data Here'!$G$26,CY43+DA41+DA31,0)</f>
        <v>0</v>
      </c>
      <c r="DB43" s="2"/>
      <c r="DC43" s="6">
        <f>IF(DC2&lt;='Enter and Change Data Here'!$G$26,DA43+DC41+DC31,0)</f>
        <v>0</v>
      </c>
      <c r="DD43" s="2"/>
      <c r="DE43" s="6">
        <f>IF(DE2&lt;='Enter and Change Data Here'!$G$26,DC43+DE41+DE31,0)</f>
        <v>0</v>
      </c>
      <c r="DF43" s="198"/>
      <c r="DG43" s="3"/>
      <c r="DH43" s="198"/>
    </row>
    <row r="44" spans="2:112" ht="12.75">
      <c r="B44" s="3"/>
      <c r="C44" s="2"/>
      <c r="D44" s="2"/>
      <c r="E44" s="2"/>
      <c r="F44" s="2"/>
      <c r="G44" s="150"/>
      <c r="H44" s="32"/>
      <c r="I44" s="6"/>
      <c r="J44" s="2"/>
      <c r="K44" s="6"/>
      <c r="L44" s="2"/>
      <c r="M44" s="6"/>
      <c r="N44" s="2"/>
      <c r="O44" s="6"/>
      <c r="P44" s="2"/>
      <c r="Q44" s="6"/>
      <c r="R44" s="2"/>
      <c r="S44" s="6"/>
      <c r="T44" s="2"/>
      <c r="U44" s="6"/>
      <c r="V44" s="2"/>
      <c r="W44" s="6"/>
      <c r="X44" s="2"/>
      <c r="Y44" s="6"/>
      <c r="Z44" s="2"/>
      <c r="AA44" s="6"/>
      <c r="AB44" s="2"/>
      <c r="AC44" s="6"/>
      <c r="AD44" s="32"/>
      <c r="AE44" s="6"/>
      <c r="AF44" s="2"/>
      <c r="AG44" s="6"/>
      <c r="AH44" s="2"/>
      <c r="AI44" s="6"/>
      <c r="AJ44" s="2"/>
      <c r="AK44" s="6"/>
      <c r="AL44" s="2"/>
      <c r="AM44" s="6"/>
      <c r="AN44" s="2"/>
      <c r="AO44" s="6"/>
      <c r="AP44" s="2"/>
      <c r="AQ44" s="6"/>
      <c r="AR44" s="2"/>
      <c r="AS44" s="6"/>
      <c r="AT44" s="2"/>
      <c r="AU44" s="6"/>
      <c r="AV44" s="2"/>
      <c r="AW44" s="6"/>
      <c r="AX44" s="32"/>
      <c r="AY44" s="6"/>
      <c r="AZ44" s="2"/>
      <c r="BA44" s="6"/>
      <c r="BB44" s="2"/>
      <c r="BC44" s="6"/>
      <c r="BD44" s="2"/>
      <c r="BE44" s="6"/>
      <c r="BF44" s="2"/>
      <c r="BG44" s="6"/>
      <c r="BH44" s="2"/>
      <c r="BI44" s="6"/>
      <c r="BJ44" s="2"/>
      <c r="BK44" s="6"/>
      <c r="BL44" s="2"/>
      <c r="BM44" s="6"/>
      <c r="BN44" s="2"/>
      <c r="BO44" s="6"/>
      <c r="BP44" s="2"/>
      <c r="BQ44" s="6"/>
      <c r="BR44" s="32"/>
      <c r="BS44" s="6"/>
      <c r="BT44" s="2"/>
      <c r="BU44" s="6"/>
      <c r="BV44" s="2"/>
      <c r="BW44" s="6"/>
      <c r="BX44" s="2"/>
      <c r="BY44" s="6"/>
      <c r="BZ44" s="2"/>
      <c r="CA44" s="6"/>
      <c r="CB44" s="2"/>
      <c r="CC44" s="6"/>
      <c r="CD44" s="2"/>
      <c r="CE44" s="6"/>
      <c r="CF44" s="2"/>
      <c r="CG44" s="6"/>
      <c r="CH44" s="2"/>
      <c r="CI44" s="6"/>
      <c r="CJ44" s="2"/>
      <c r="CK44" s="6"/>
      <c r="CL44" s="32"/>
      <c r="CM44" s="6"/>
      <c r="CN44" s="2"/>
      <c r="CO44" s="6"/>
      <c r="CP44" s="2"/>
      <c r="CQ44" s="6"/>
      <c r="CR44" s="2"/>
      <c r="CS44" s="6"/>
      <c r="CT44" s="2"/>
      <c r="CU44" s="6"/>
      <c r="CV44" s="2"/>
      <c r="CW44" s="6"/>
      <c r="CX44" s="2"/>
      <c r="CY44" s="6"/>
      <c r="CZ44" s="2"/>
      <c r="DA44" s="6"/>
      <c r="DB44" s="2"/>
      <c r="DC44" s="6"/>
      <c r="DD44" s="2"/>
      <c r="DE44" s="6"/>
      <c r="DF44" s="198"/>
      <c r="DG44" s="3"/>
      <c r="DH44" s="198"/>
    </row>
    <row r="45" spans="2:112" ht="12.75">
      <c r="B45" s="3"/>
      <c r="C45" s="2" t="s">
        <v>61</v>
      </c>
      <c r="D45" s="2"/>
      <c r="E45" s="2"/>
      <c r="F45" s="2"/>
      <c r="G45" s="150" t="str">
        <f>CONCATENATE("(",'Enter and Change Data Here'!$G$13,")")</f>
        <v>($US)</v>
      </c>
      <c r="H45" s="32"/>
      <c r="I45" s="6">
        <f>IF(I2&lt;='Enter and Change Data Here'!$G$26,'Enter and Change Data Here'!$O$22,0)</f>
        <v>84330000</v>
      </c>
      <c r="J45" s="2"/>
      <c r="K45" s="6">
        <f>IF(K2&lt;='Enter and Change Data Here'!$G$26,'Enter and Change Data Here'!$O$22,0)</f>
        <v>84330000</v>
      </c>
      <c r="L45" s="2"/>
      <c r="M45" s="6">
        <f>IF(M2&lt;='Enter and Change Data Here'!$G$26,'Enter and Change Data Here'!$O$22,0)</f>
        <v>84330000</v>
      </c>
      <c r="N45" s="2"/>
      <c r="O45" s="6">
        <f>IF(O2&lt;='Enter and Change Data Here'!$G$26,'Enter and Change Data Here'!$O$22,0)</f>
        <v>84330000</v>
      </c>
      <c r="P45" s="2"/>
      <c r="Q45" s="6">
        <f>IF(Q2&lt;='Enter and Change Data Here'!$G$26,'Enter and Change Data Here'!$O$22,0)</f>
        <v>84330000</v>
      </c>
      <c r="R45" s="2"/>
      <c r="S45" s="6">
        <f>IF(S2&lt;='Enter and Change Data Here'!$G$26,'Enter and Change Data Here'!$O$22,0)</f>
        <v>84330000</v>
      </c>
      <c r="T45" s="2"/>
      <c r="U45" s="6">
        <f>IF(U2&lt;='Enter and Change Data Here'!$G$26,'Enter and Change Data Here'!$O$22,0)</f>
        <v>84330000</v>
      </c>
      <c r="V45" s="2"/>
      <c r="W45" s="6">
        <f>IF(W2&lt;='Enter and Change Data Here'!$G$26,'Enter and Change Data Here'!$O$22,0)</f>
        <v>84330000</v>
      </c>
      <c r="X45" s="2"/>
      <c r="Y45" s="6">
        <f>IF(Y2&lt;='Enter and Change Data Here'!$G$26,'Enter and Change Data Here'!$O$22,0)</f>
        <v>84330000</v>
      </c>
      <c r="Z45" s="2"/>
      <c r="AA45" s="6">
        <f>IF(AA2&lt;='Enter and Change Data Here'!$G$26,'Enter and Change Data Here'!$O$22,0)</f>
        <v>84330000</v>
      </c>
      <c r="AB45" s="2"/>
      <c r="AC45" s="6">
        <f>IF(AC2&lt;='Enter and Change Data Here'!$G$26,'Enter and Change Data Here'!$O$22,0)</f>
        <v>84330000</v>
      </c>
      <c r="AD45" s="32"/>
      <c r="AE45" s="6">
        <f>IF(AE2&lt;='Enter and Change Data Here'!$G$26,'Enter and Change Data Here'!$O$22,0)</f>
        <v>84330000</v>
      </c>
      <c r="AF45" s="2"/>
      <c r="AG45" s="6">
        <f>IF(AG2&lt;='Enter and Change Data Here'!$G$26,'Enter and Change Data Here'!$O$22,0)</f>
        <v>84330000</v>
      </c>
      <c r="AH45" s="2"/>
      <c r="AI45" s="6">
        <f>IF(AI2&lt;='Enter and Change Data Here'!$G$26,'Enter and Change Data Here'!$O$22,0)</f>
        <v>84330000</v>
      </c>
      <c r="AJ45" s="2"/>
      <c r="AK45" s="6">
        <f>IF(AK2&lt;='Enter and Change Data Here'!$G$26,'Enter and Change Data Here'!$O$22,0)</f>
        <v>84330000</v>
      </c>
      <c r="AL45" s="2"/>
      <c r="AM45" s="6">
        <f>IF(AM2&lt;='Enter and Change Data Here'!$G$26,'Enter and Change Data Here'!$O$22,0)</f>
        <v>84330000</v>
      </c>
      <c r="AN45" s="2"/>
      <c r="AO45" s="6">
        <f>IF(AO2&lt;='Enter and Change Data Here'!$G$26,'Enter and Change Data Here'!$O$22,0)</f>
        <v>84330000</v>
      </c>
      <c r="AP45" s="2"/>
      <c r="AQ45" s="6">
        <f>IF(AQ2&lt;='Enter and Change Data Here'!$G$26,'Enter and Change Data Here'!$O$22,0)</f>
        <v>84330000</v>
      </c>
      <c r="AR45" s="2"/>
      <c r="AS45" s="6">
        <f>IF(AS2&lt;='Enter and Change Data Here'!$G$26,'Enter and Change Data Here'!$O$22,0)</f>
        <v>84330000</v>
      </c>
      <c r="AT45" s="2"/>
      <c r="AU45" s="6">
        <f>IF(AU2&lt;='Enter and Change Data Here'!$G$26,'Enter and Change Data Here'!$O$22,0)</f>
        <v>84330000</v>
      </c>
      <c r="AV45" s="2"/>
      <c r="AW45" s="6">
        <f>IF(AW2&lt;='Enter and Change Data Here'!$G$26,'Enter and Change Data Here'!$O$22,0)</f>
        <v>84330000</v>
      </c>
      <c r="AX45" s="32"/>
      <c r="AY45" s="6">
        <f>IF(AY2&lt;='Enter and Change Data Here'!$G$26,'Enter and Change Data Here'!$O$22,0)</f>
        <v>84330000</v>
      </c>
      <c r="AZ45" s="2"/>
      <c r="BA45" s="6">
        <f>IF(BA2&lt;='Enter and Change Data Here'!$G$26,'Enter and Change Data Here'!$O$22,0)</f>
        <v>84330000</v>
      </c>
      <c r="BB45" s="2"/>
      <c r="BC45" s="6">
        <f>IF(BC2&lt;='Enter and Change Data Here'!$G$26,'Enter and Change Data Here'!$O$22,0)</f>
        <v>84330000</v>
      </c>
      <c r="BD45" s="2"/>
      <c r="BE45" s="6">
        <f>IF(BE2&lt;='Enter and Change Data Here'!$G$26,'Enter and Change Data Here'!$O$22,0)</f>
        <v>84330000</v>
      </c>
      <c r="BF45" s="2"/>
      <c r="BG45" s="6">
        <f>IF(BG2&lt;='Enter and Change Data Here'!$G$26,'Enter and Change Data Here'!$O$22,0)</f>
        <v>84330000</v>
      </c>
      <c r="BH45" s="2"/>
      <c r="BI45" s="6">
        <f>IF(BI2&lt;='Enter and Change Data Here'!$G$26,'Enter and Change Data Here'!$O$22,0)</f>
        <v>0</v>
      </c>
      <c r="BJ45" s="2"/>
      <c r="BK45" s="6">
        <f>IF(BK2&lt;='Enter and Change Data Here'!$G$26,'Enter and Change Data Here'!$O$22,0)</f>
        <v>0</v>
      </c>
      <c r="BL45" s="2"/>
      <c r="BM45" s="6">
        <f>IF(BM2&lt;='Enter and Change Data Here'!$G$26,'Enter and Change Data Here'!$O$22,0)</f>
        <v>0</v>
      </c>
      <c r="BN45" s="2"/>
      <c r="BO45" s="6">
        <f>IF(BO2&lt;='Enter and Change Data Here'!$G$26,'Enter and Change Data Here'!$O$22,0)</f>
        <v>0</v>
      </c>
      <c r="BP45" s="2"/>
      <c r="BQ45" s="6">
        <f>IF(BQ2&lt;='Enter and Change Data Here'!$G$26,'Enter and Change Data Here'!$O$22,0)</f>
        <v>0</v>
      </c>
      <c r="BR45" s="32"/>
      <c r="BS45" s="6">
        <f>IF(BS2&lt;='Enter and Change Data Here'!$G$26,'Enter and Change Data Here'!$O$22,0)</f>
        <v>0</v>
      </c>
      <c r="BT45" s="2"/>
      <c r="BU45" s="6">
        <f>IF(BU2&lt;='Enter and Change Data Here'!$G$26,'Enter and Change Data Here'!$O$22,0)</f>
        <v>0</v>
      </c>
      <c r="BV45" s="2"/>
      <c r="BW45" s="6">
        <f>IF(BW2&lt;='Enter and Change Data Here'!$G$26,'Enter and Change Data Here'!$O$22,0)</f>
        <v>0</v>
      </c>
      <c r="BX45" s="2"/>
      <c r="BY45" s="6">
        <f>IF(BY2&lt;='Enter and Change Data Here'!$G$26,'Enter and Change Data Here'!$O$22,0)</f>
        <v>0</v>
      </c>
      <c r="BZ45" s="2"/>
      <c r="CA45" s="6">
        <f>IF(CA2&lt;='Enter and Change Data Here'!$G$26,'Enter and Change Data Here'!$O$22,0)</f>
        <v>0</v>
      </c>
      <c r="CB45" s="2"/>
      <c r="CC45" s="6">
        <f>IF(CC2&lt;='Enter and Change Data Here'!$G$26,'Enter and Change Data Here'!$O$22,0)</f>
        <v>0</v>
      </c>
      <c r="CD45" s="2"/>
      <c r="CE45" s="6">
        <f>IF(CE2&lt;='Enter and Change Data Here'!$G$26,'Enter and Change Data Here'!$O$22,0)</f>
        <v>0</v>
      </c>
      <c r="CF45" s="2"/>
      <c r="CG45" s="6">
        <f>IF(CG2&lt;='Enter and Change Data Here'!$G$26,'Enter and Change Data Here'!$O$22,0)</f>
        <v>0</v>
      </c>
      <c r="CH45" s="2"/>
      <c r="CI45" s="6">
        <f>IF(CI2&lt;='Enter and Change Data Here'!$G$26,'Enter and Change Data Here'!$O$22,0)</f>
        <v>0</v>
      </c>
      <c r="CJ45" s="2"/>
      <c r="CK45" s="6">
        <f>IF(CK2&lt;='Enter and Change Data Here'!$G$26,'Enter and Change Data Here'!$O$22,0)</f>
        <v>0</v>
      </c>
      <c r="CL45" s="32"/>
      <c r="CM45" s="6">
        <f>IF(CM2&lt;='Enter and Change Data Here'!$G$26,'Enter and Change Data Here'!$O$22,0)</f>
        <v>0</v>
      </c>
      <c r="CN45" s="2"/>
      <c r="CO45" s="6">
        <f>IF(CO2&lt;='Enter and Change Data Here'!$G$26,'Enter and Change Data Here'!$O$22,0)</f>
        <v>0</v>
      </c>
      <c r="CP45" s="2"/>
      <c r="CQ45" s="6">
        <f>IF(CQ2&lt;='Enter and Change Data Here'!$G$26,'Enter and Change Data Here'!$O$22,0)</f>
        <v>0</v>
      </c>
      <c r="CR45" s="2"/>
      <c r="CS45" s="6">
        <f>IF(CS2&lt;='Enter and Change Data Here'!$G$26,'Enter and Change Data Here'!$O$22,0)</f>
        <v>0</v>
      </c>
      <c r="CT45" s="2"/>
      <c r="CU45" s="6">
        <f>IF(CU2&lt;='Enter and Change Data Here'!$G$26,'Enter and Change Data Here'!$O$22,0)</f>
        <v>0</v>
      </c>
      <c r="CV45" s="2"/>
      <c r="CW45" s="6">
        <f>IF(CW2&lt;='Enter and Change Data Here'!$G$26,'Enter and Change Data Here'!$O$22,0)</f>
        <v>0</v>
      </c>
      <c r="CX45" s="2"/>
      <c r="CY45" s="6">
        <f>IF(CY2&lt;='Enter and Change Data Here'!$G$26,'Enter and Change Data Here'!$O$22,0)</f>
        <v>0</v>
      </c>
      <c r="CZ45" s="2"/>
      <c r="DA45" s="6">
        <f>IF(DA2&lt;='Enter and Change Data Here'!$G$26,'Enter and Change Data Here'!$O$22,0)</f>
        <v>0</v>
      </c>
      <c r="DB45" s="2"/>
      <c r="DC45" s="6">
        <f>IF(DC2&lt;='Enter and Change Data Here'!$G$26,'Enter and Change Data Here'!$O$22,0)</f>
        <v>0</v>
      </c>
      <c r="DD45" s="2"/>
      <c r="DE45" s="6">
        <f>IF(DE2&lt;='Enter and Change Data Here'!$G$26,'Enter and Change Data Here'!$O$22,0)</f>
        <v>0</v>
      </c>
      <c r="DF45" s="198"/>
      <c r="DG45" s="3"/>
      <c r="DH45" s="198"/>
    </row>
    <row r="46" spans="2:112" ht="12.75">
      <c r="B46" s="3"/>
      <c r="C46" s="2" t="s">
        <v>62</v>
      </c>
      <c r="D46" s="2"/>
      <c r="E46" s="2"/>
      <c r="F46" s="2"/>
      <c r="G46" s="150" t="str">
        <f>CONCATENATE("(",'Enter and Change Data Here'!$G$13,")")</f>
        <v>($US)</v>
      </c>
      <c r="H46" s="32"/>
      <c r="I46" s="6">
        <f>0</f>
        <v>0</v>
      </c>
      <c r="J46" s="2"/>
      <c r="K46" s="6">
        <f>IF(K2&lt;='Enter and Change Data Here'!$G$26,IF('Cash Flow'!K2&lt;='Enter and Change Data Here'!$O$87,-'Enter and Change Data Here'!$O$22/'Enter and Change Data Here'!$O$87*'Cash Flow'!K2,-'Enter and Change Data Here'!$O$22),0)</f>
        <v>-4216500</v>
      </c>
      <c r="L46" s="2"/>
      <c r="M46" s="6">
        <f>IF(M2&lt;='Enter and Change Data Here'!$G$26,IF('Cash Flow'!M2&lt;='Enter and Change Data Here'!$O$87,-'Enter and Change Data Here'!$O$22/'Enter and Change Data Here'!$O$87*'Cash Flow'!M2,-'Enter and Change Data Here'!$O$22),0)</f>
        <v>-8433000</v>
      </c>
      <c r="N46" s="2"/>
      <c r="O46" s="6">
        <f>IF(O2&lt;='Enter and Change Data Here'!$G$26,IF('Cash Flow'!O2&lt;='Enter and Change Data Here'!$O$87,-'Enter and Change Data Here'!$O$22/'Enter and Change Data Here'!$O$87*'Cash Flow'!O2,-'Enter and Change Data Here'!$O$22),0)</f>
        <v>-12649500</v>
      </c>
      <c r="P46" s="2"/>
      <c r="Q46" s="6">
        <f>IF(Q2&lt;='Enter and Change Data Here'!$G$26,IF('Cash Flow'!Q2&lt;='Enter and Change Data Here'!$O$87,-'Enter and Change Data Here'!$O$22/'Enter and Change Data Here'!$O$87*'Cash Flow'!Q2,-'Enter and Change Data Here'!$O$22),0)</f>
        <v>-16866000</v>
      </c>
      <c r="R46" s="2"/>
      <c r="S46" s="6">
        <f>IF(S2&lt;='Enter and Change Data Here'!$G$26,IF('Cash Flow'!S2&lt;='Enter and Change Data Here'!$O$87,-'Enter and Change Data Here'!$O$22/'Enter and Change Data Here'!$O$87*'Cash Flow'!S2,-'Enter and Change Data Here'!$O$22),0)</f>
        <v>-21082500</v>
      </c>
      <c r="T46" s="2"/>
      <c r="U46" s="6">
        <f>IF(U2&lt;='Enter and Change Data Here'!$G$26,IF('Cash Flow'!U2&lt;='Enter and Change Data Here'!$O$87,-'Enter and Change Data Here'!$O$22/'Enter and Change Data Here'!$O$87*'Cash Flow'!U2,-'Enter and Change Data Here'!$O$22),0)</f>
        <v>-25299000</v>
      </c>
      <c r="V46" s="2"/>
      <c r="W46" s="6">
        <f>IF(W2&lt;='Enter and Change Data Here'!$G$26,IF('Cash Flow'!W2&lt;='Enter and Change Data Here'!$O$87,-'Enter and Change Data Here'!$O$22/'Enter and Change Data Here'!$O$87*'Cash Flow'!W2,-'Enter and Change Data Here'!$O$22),0)</f>
        <v>-29515500</v>
      </c>
      <c r="X46" s="2"/>
      <c r="Y46" s="6">
        <f>IF(Y2&lt;='Enter and Change Data Here'!$G$26,IF('Cash Flow'!Y2&lt;='Enter and Change Data Here'!$O$87,-'Enter and Change Data Here'!$O$22/'Enter and Change Data Here'!$O$87*'Cash Flow'!Y2,-'Enter and Change Data Here'!$O$22),0)</f>
        <v>-33732000</v>
      </c>
      <c r="Z46" s="2"/>
      <c r="AA46" s="6">
        <f>IF(AA2&lt;='Enter and Change Data Here'!$G$26,IF('Cash Flow'!AA2&lt;='Enter and Change Data Here'!$O$87,-'Enter and Change Data Here'!$O$22/'Enter and Change Data Here'!$O$87*'Cash Flow'!AA2,-'Enter and Change Data Here'!$O$22),0)</f>
        <v>-37948500</v>
      </c>
      <c r="AB46" s="2"/>
      <c r="AC46" s="6">
        <f>IF(AC2&lt;='Enter and Change Data Here'!$G$26,IF('Cash Flow'!AC2&lt;='Enter and Change Data Here'!$O$87,-'Enter and Change Data Here'!$O$22/'Enter and Change Data Here'!$O$87*'Cash Flow'!AC2,-'Enter and Change Data Here'!$O$22),0)</f>
        <v>-42165000</v>
      </c>
      <c r="AD46" s="32"/>
      <c r="AE46" s="6">
        <f>IF(AE2&lt;='Enter and Change Data Here'!$G$26,IF('Cash Flow'!AE2&lt;='Enter and Change Data Here'!$O$87,-'Enter and Change Data Here'!$O$22/'Enter and Change Data Here'!$O$87*'Cash Flow'!AE2,-'Enter and Change Data Here'!$O$22),0)</f>
        <v>-46381500</v>
      </c>
      <c r="AF46" s="2"/>
      <c r="AG46" s="6">
        <f>IF(AG2&lt;='Enter and Change Data Here'!$G$26,IF('Cash Flow'!AG2&lt;='Enter and Change Data Here'!$O$87,-'Enter and Change Data Here'!$O$22/'Enter and Change Data Here'!$O$87*'Cash Flow'!AG2,-'Enter and Change Data Here'!$O$22),0)</f>
        <v>-50598000</v>
      </c>
      <c r="AH46" s="2"/>
      <c r="AI46" s="6">
        <f>IF(AI2&lt;='Enter and Change Data Here'!$G$26,IF('Cash Flow'!AI2&lt;='Enter and Change Data Here'!$O$87,-'Enter and Change Data Here'!$O$22/'Enter and Change Data Here'!$O$87*'Cash Flow'!AI2,-'Enter and Change Data Here'!$O$22),0)</f>
        <v>-54814500</v>
      </c>
      <c r="AJ46" s="2"/>
      <c r="AK46" s="6">
        <f>IF(AK2&lt;='Enter and Change Data Here'!$G$26,IF('Cash Flow'!AK2&lt;='Enter and Change Data Here'!$O$87,-'Enter and Change Data Here'!$O$22/'Enter and Change Data Here'!$O$87*'Cash Flow'!AK2,-'Enter and Change Data Here'!$O$22),0)</f>
        <v>-59031000</v>
      </c>
      <c r="AL46" s="2"/>
      <c r="AM46" s="6">
        <f>IF(AM2&lt;='Enter and Change Data Here'!$G$26,IF('Cash Flow'!AM2&lt;='Enter and Change Data Here'!$O$87,-'Enter and Change Data Here'!$O$22/'Enter and Change Data Here'!$O$87*'Cash Flow'!AM2,-'Enter and Change Data Here'!$O$22),0)</f>
        <v>-63247500</v>
      </c>
      <c r="AN46" s="2"/>
      <c r="AO46" s="6">
        <f>IF(AO2&lt;='Enter and Change Data Here'!$G$26,IF('Cash Flow'!AO2&lt;='Enter and Change Data Here'!$O$87,-'Enter and Change Data Here'!$O$22/'Enter and Change Data Here'!$O$87*'Cash Flow'!AO2,-'Enter and Change Data Here'!$O$22),0)</f>
        <v>-67464000</v>
      </c>
      <c r="AP46" s="2"/>
      <c r="AQ46" s="6">
        <f>IF(AQ2&lt;='Enter and Change Data Here'!$G$26,IF('Cash Flow'!AQ2&lt;='Enter and Change Data Here'!$O$87,-'Enter and Change Data Here'!$O$22/'Enter and Change Data Here'!$O$87*'Cash Flow'!AQ2,-'Enter and Change Data Here'!$O$22),0)</f>
        <v>-71680500</v>
      </c>
      <c r="AR46" s="2"/>
      <c r="AS46" s="6">
        <f>IF(AS2&lt;='Enter and Change Data Here'!$G$26,IF('Cash Flow'!AS2&lt;='Enter and Change Data Here'!$O$87,-'Enter and Change Data Here'!$O$22/'Enter and Change Data Here'!$O$87*'Cash Flow'!AS2,-'Enter and Change Data Here'!$O$22),0)</f>
        <v>-75897000</v>
      </c>
      <c r="AT46" s="2"/>
      <c r="AU46" s="6">
        <f>IF(AU2&lt;='Enter and Change Data Here'!$G$26,IF('Cash Flow'!AU2&lt;='Enter and Change Data Here'!$O$87,-'Enter and Change Data Here'!$O$22/'Enter and Change Data Here'!$O$87*'Cash Flow'!AU2,-'Enter and Change Data Here'!$O$22),0)</f>
        <v>-80113500</v>
      </c>
      <c r="AV46" s="2"/>
      <c r="AW46" s="6">
        <f>IF(AW2&lt;='Enter and Change Data Here'!$G$26,IF('Cash Flow'!AW2&lt;='Enter and Change Data Here'!$O$87,-'Enter and Change Data Here'!$O$22/'Enter and Change Data Here'!$O$87*'Cash Flow'!AW2,-'Enter and Change Data Here'!$O$22),0)</f>
        <v>-84330000</v>
      </c>
      <c r="AX46" s="32"/>
      <c r="AY46" s="6">
        <f>IF(AY2&lt;='Enter and Change Data Here'!$G$26,IF('Cash Flow'!AY2&lt;='Enter and Change Data Here'!$O$87,-'Enter and Change Data Here'!$O$22/'Enter and Change Data Here'!$O$87*'Cash Flow'!AY2,-'Enter and Change Data Here'!$O$22),0)</f>
        <v>-84330000</v>
      </c>
      <c r="AZ46" s="2"/>
      <c r="BA46" s="6">
        <f>IF(BA2&lt;='Enter and Change Data Here'!$G$26,IF('Cash Flow'!BA2&lt;='Enter and Change Data Here'!$O$87,-'Enter and Change Data Here'!$O$22/'Enter and Change Data Here'!$O$87*'Cash Flow'!BA2,-'Enter and Change Data Here'!$O$22),0)</f>
        <v>-84330000</v>
      </c>
      <c r="BB46" s="2"/>
      <c r="BC46" s="6">
        <f>IF(BC2&lt;='Enter and Change Data Here'!$G$26,IF('Cash Flow'!BC2&lt;='Enter and Change Data Here'!$O$87,-'Enter and Change Data Here'!$O$22/'Enter and Change Data Here'!$O$87*'Cash Flow'!BC2,-'Enter and Change Data Here'!$O$22),0)</f>
        <v>-84330000</v>
      </c>
      <c r="BD46" s="2"/>
      <c r="BE46" s="6">
        <f>IF(BE2&lt;='Enter and Change Data Here'!$G$26,IF('Cash Flow'!BE2&lt;='Enter and Change Data Here'!$O$87,-'Enter and Change Data Here'!$O$22/'Enter and Change Data Here'!$O$87*'Cash Flow'!BE2,-'Enter and Change Data Here'!$O$22),0)</f>
        <v>-84330000</v>
      </c>
      <c r="BF46" s="2"/>
      <c r="BG46" s="6">
        <f>IF(BG2&lt;='Enter and Change Data Here'!$G$26,IF('Cash Flow'!BG2&lt;='Enter and Change Data Here'!$O$87,-'Enter and Change Data Here'!$O$22/'Enter and Change Data Here'!$O$87*'Cash Flow'!BG2,-'Enter and Change Data Here'!$O$22),0)</f>
        <v>-84330000</v>
      </c>
      <c r="BH46" s="2"/>
      <c r="BI46" s="6">
        <f>IF(BI2&lt;='Enter and Change Data Here'!$G$26,IF('Cash Flow'!BI2&lt;='Enter and Change Data Here'!$O$87,-'Enter and Change Data Here'!$O$22/'Enter and Change Data Here'!$O$87*'Cash Flow'!BI2,-'Enter and Change Data Here'!$O$22),0)</f>
        <v>0</v>
      </c>
      <c r="BJ46" s="2"/>
      <c r="BK46" s="6">
        <f>IF(BK2&lt;='Enter and Change Data Here'!$G$26,IF('Cash Flow'!BK2&lt;='Enter and Change Data Here'!$O$87,-'Enter and Change Data Here'!$O$22/'Enter and Change Data Here'!$O$87*'Cash Flow'!BK2,-'Enter and Change Data Here'!$O$22),0)</f>
        <v>0</v>
      </c>
      <c r="BL46" s="2"/>
      <c r="BM46" s="6">
        <f>IF(BM2&lt;='Enter and Change Data Here'!$G$26,IF('Cash Flow'!BM2&lt;='Enter and Change Data Here'!$O$87,-'Enter and Change Data Here'!$O$22/'Enter and Change Data Here'!$O$87*'Cash Flow'!BM2,-'Enter and Change Data Here'!$O$22),0)</f>
        <v>0</v>
      </c>
      <c r="BN46" s="2"/>
      <c r="BO46" s="6">
        <f>IF(BO2&lt;='Enter and Change Data Here'!$G$26,IF('Cash Flow'!BO2&lt;='Enter and Change Data Here'!$O$87,-'Enter and Change Data Here'!$O$22/'Enter and Change Data Here'!$O$87*'Cash Flow'!BO2,-'Enter and Change Data Here'!$O$22),0)</f>
        <v>0</v>
      </c>
      <c r="BP46" s="2"/>
      <c r="BQ46" s="6">
        <f>IF(BQ2&lt;='Enter and Change Data Here'!$G$26,IF('Cash Flow'!BQ2&lt;='Enter and Change Data Here'!$O$87,-'Enter and Change Data Here'!$O$22/'Enter and Change Data Here'!$O$87*'Cash Flow'!BQ2,-'Enter and Change Data Here'!$O$22),0)</f>
        <v>0</v>
      </c>
      <c r="BR46" s="32"/>
      <c r="BS46" s="6">
        <f>IF(BS2&lt;='Enter and Change Data Here'!$G$26,IF('Cash Flow'!BS2&lt;='Enter and Change Data Here'!$O$87,-'Enter and Change Data Here'!$O$22/'Enter and Change Data Here'!$O$87*'Cash Flow'!BS2,-'Enter and Change Data Here'!$O$22),0)</f>
        <v>0</v>
      </c>
      <c r="BT46" s="2"/>
      <c r="BU46" s="6">
        <f>IF(BU2&lt;='Enter and Change Data Here'!$G$26,IF('Cash Flow'!BU2&lt;='Enter and Change Data Here'!$O$87,-'Enter and Change Data Here'!$O$22/'Enter and Change Data Here'!$O$87*'Cash Flow'!BU2,-'Enter and Change Data Here'!$O$22),0)</f>
        <v>0</v>
      </c>
      <c r="BV46" s="2"/>
      <c r="BW46" s="6">
        <f>IF(BW2&lt;='Enter and Change Data Here'!$G$26,IF('Cash Flow'!BW2&lt;='Enter and Change Data Here'!$O$87,-'Enter and Change Data Here'!$O$22/'Enter and Change Data Here'!$O$87*'Cash Flow'!BW2,-'Enter and Change Data Here'!$O$22),0)</f>
        <v>0</v>
      </c>
      <c r="BX46" s="2"/>
      <c r="BY46" s="6">
        <f>IF(BY2&lt;='Enter and Change Data Here'!$G$26,IF('Cash Flow'!BY2&lt;='Enter and Change Data Here'!$O$87,-'Enter and Change Data Here'!$O$22/'Enter and Change Data Here'!$O$87*'Cash Flow'!BY2,-'Enter and Change Data Here'!$O$22),0)</f>
        <v>0</v>
      </c>
      <c r="BZ46" s="2"/>
      <c r="CA46" s="6">
        <f>IF(CA2&lt;='Enter and Change Data Here'!$G$26,IF('Cash Flow'!CA2&lt;='Enter and Change Data Here'!$O$87,-'Enter and Change Data Here'!$O$22/'Enter and Change Data Here'!$O$87*'Cash Flow'!CA2,-'Enter and Change Data Here'!$O$22),0)</f>
        <v>0</v>
      </c>
      <c r="CB46" s="2"/>
      <c r="CC46" s="6">
        <f>IF(CC2&lt;='Enter and Change Data Here'!$G$26,IF('Cash Flow'!CC2&lt;='Enter and Change Data Here'!$O$87,-'Enter and Change Data Here'!$O$22/'Enter and Change Data Here'!$O$87*'Cash Flow'!CC2,-'Enter and Change Data Here'!$O$22),0)</f>
        <v>0</v>
      </c>
      <c r="CD46" s="2"/>
      <c r="CE46" s="6">
        <f>IF(CE2&lt;='Enter and Change Data Here'!$G$26,IF('Cash Flow'!CE2&lt;='Enter and Change Data Here'!$O$87,-'Enter and Change Data Here'!$O$22/'Enter and Change Data Here'!$O$87*'Cash Flow'!CE2,-'Enter and Change Data Here'!$O$22),0)</f>
        <v>0</v>
      </c>
      <c r="CF46" s="2"/>
      <c r="CG46" s="6">
        <f>IF(CG2&lt;='Enter and Change Data Here'!$G$26,IF('Cash Flow'!CG2&lt;='Enter and Change Data Here'!$O$87,-'Enter and Change Data Here'!$O$22/'Enter and Change Data Here'!$O$87*'Cash Flow'!CG2,-'Enter and Change Data Here'!$O$22),0)</f>
        <v>0</v>
      </c>
      <c r="CH46" s="2"/>
      <c r="CI46" s="6">
        <f>IF(CI2&lt;='Enter and Change Data Here'!$G$26,IF('Cash Flow'!CI2&lt;='Enter and Change Data Here'!$O$87,-'Enter and Change Data Here'!$O$22/'Enter and Change Data Here'!$O$87*'Cash Flow'!CI2,-'Enter and Change Data Here'!$O$22),0)</f>
        <v>0</v>
      </c>
      <c r="CJ46" s="2"/>
      <c r="CK46" s="6">
        <f>IF(CK2&lt;='Enter and Change Data Here'!$G$26,IF('Cash Flow'!CK2&lt;='Enter and Change Data Here'!$O$87,-'Enter and Change Data Here'!$O$22/'Enter and Change Data Here'!$O$87*'Cash Flow'!CK2,-'Enter and Change Data Here'!$O$22),0)</f>
        <v>0</v>
      </c>
      <c r="CL46" s="32"/>
      <c r="CM46" s="6">
        <f>IF(CM2&lt;='Enter and Change Data Here'!$G$26,IF('Cash Flow'!CM2&lt;='Enter and Change Data Here'!$O$87,-'Enter and Change Data Here'!$O$22/'Enter and Change Data Here'!$O$87*'Cash Flow'!CM2,-'Enter and Change Data Here'!$O$22),0)</f>
        <v>0</v>
      </c>
      <c r="CN46" s="2"/>
      <c r="CO46" s="6">
        <f>IF(CO2&lt;='Enter and Change Data Here'!$G$26,IF('Cash Flow'!CO2&lt;='Enter and Change Data Here'!$O$87,-'Enter and Change Data Here'!$O$22/'Enter and Change Data Here'!$O$87*'Cash Flow'!CO2,-'Enter and Change Data Here'!$O$22),0)</f>
        <v>0</v>
      </c>
      <c r="CP46" s="2"/>
      <c r="CQ46" s="6">
        <f>IF(CQ2&lt;='Enter and Change Data Here'!$G$26,IF('Cash Flow'!CQ2&lt;='Enter and Change Data Here'!$O$87,-'Enter and Change Data Here'!$O$22/'Enter and Change Data Here'!$O$87*'Cash Flow'!CQ2,-'Enter and Change Data Here'!$O$22),0)</f>
        <v>0</v>
      </c>
      <c r="CR46" s="2"/>
      <c r="CS46" s="6">
        <f>IF(CS2&lt;='Enter and Change Data Here'!$G$26,IF('Cash Flow'!CS2&lt;='Enter and Change Data Here'!$O$87,-'Enter and Change Data Here'!$O$22/'Enter and Change Data Here'!$O$87*'Cash Flow'!CS2,-'Enter and Change Data Here'!$O$22),0)</f>
        <v>0</v>
      </c>
      <c r="CT46" s="2"/>
      <c r="CU46" s="6">
        <f>IF(CU2&lt;='Enter and Change Data Here'!$G$26,IF('Cash Flow'!CU2&lt;='Enter and Change Data Here'!$O$87,-'Enter and Change Data Here'!$O$22/'Enter and Change Data Here'!$O$87*'Cash Flow'!CU2,-'Enter and Change Data Here'!$O$22),0)</f>
        <v>0</v>
      </c>
      <c r="CV46" s="2"/>
      <c r="CW46" s="6">
        <f>IF(CW2&lt;='Enter and Change Data Here'!$G$26,IF('Cash Flow'!CW2&lt;='Enter and Change Data Here'!$O$87,-'Enter and Change Data Here'!$O$22/'Enter and Change Data Here'!$O$87*'Cash Flow'!CW2,-'Enter and Change Data Here'!$O$22),0)</f>
        <v>0</v>
      </c>
      <c r="CX46" s="2"/>
      <c r="CY46" s="6">
        <f>IF(CY2&lt;='Enter and Change Data Here'!$G$26,IF('Cash Flow'!CY2&lt;='Enter and Change Data Here'!$O$87,-'Enter and Change Data Here'!$O$22/'Enter and Change Data Here'!$O$87*'Cash Flow'!CY2,-'Enter and Change Data Here'!$O$22),0)</f>
        <v>0</v>
      </c>
      <c r="CZ46" s="2"/>
      <c r="DA46" s="6">
        <f>IF(DA2&lt;='Enter and Change Data Here'!$G$26,IF('Cash Flow'!DA2&lt;='Enter and Change Data Here'!$O$87,-'Enter and Change Data Here'!$O$22/'Enter and Change Data Here'!$O$87*'Cash Flow'!DA2,-'Enter and Change Data Here'!$O$22),0)</f>
        <v>0</v>
      </c>
      <c r="DB46" s="2"/>
      <c r="DC46" s="6">
        <f>IF(DC2&lt;='Enter and Change Data Here'!$G$26,IF('Cash Flow'!DC2&lt;='Enter and Change Data Here'!$O$87,-'Enter and Change Data Here'!$O$22/'Enter and Change Data Here'!$O$87*'Cash Flow'!DC2,-'Enter and Change Data Here'!$O$22),0)</f>
        <v>0</v>
      </c>
      <c r="DD46" s="2"/>
      <c r="DE46" s="6">
        <f>IF(DE2&lt;='Enter and Change Data Here'!$G$26,IF('Cash Flow'!DE2&lt;='Enter and Change Data Here'!$O$87,-'Enter and Change Data Here'!$O$22/'Enter and Change Data Here'!$O$87*'Cash Flow'!DE2,-'Enter and Change Data Here'!$O$22),0)</f>
        <v>0</v>
      </c>
      <c r="DF46" s="198"/>
      <c r="DG46" s="3"/>
      <c r="DH46" s="198"/>
    </row>
    <row r="47" spans="2:112" ht="12.75">
      <c r="B47" s="3"/>
      <c r="C47" s="2" t="s">
        <v>76</v>
      </c>
      <c r="D47" s="2"/>
      <c r="E47" s="2"/>
      <c r="F47" s="2"/>
      <c r="G47" s="150" t="str">
        <f>CONCATENATE("(",'Enter and Change Data Here'!$G$13,")")</f>
        <v>($US)</v>
      </c>
      <c r="H47" s="32"/>
      <c r="I47" s="6">
        <f>IF(I2&lt;='Enter and Change Data Here'!$G$26,'Enter and Change Data Here'!$O$23+'Enter and Change Data Here'!$O$24,0)</f>
        <v>5239915.254237289</v>
      </c>
      <c r="J47" s="2"/>
      <c r="K47" s="6">
        <f>IF(K2&lt;='Enter and Change Data Here'!$G$26,'Enter and Change Data Here'!$O$23+'Enter and Change Data Here'!$O$24,0)</f>
        <v>5239915.254237289</v>
      </c>
      <c r="L47" s="2"/>
      <c r="M47" s="6">
        <f>IF(M2&lt;='Enter and Change Data Here'!$G$26,'Enter and Change Data Here'!$O$23+'Enter and Change Data Here'!$O$24,0)</f>
        <v>5239915.254237289</v>
      </c>
      <c r="N47" s="2"/>
      <c r="O47" s="6">
        <f>IF(O2&lt;='Enter and Change Data Here'!$G$26,'Enter and Change Data Here'!$O$23+'Enter and Change Data Here'!$O$24,0)</f>
        <v>5239915.254237289</v>
      </c>
      <c r="P47" s="2"/>
      <c r="Q47" s="6">
        <f>IF(Q2&lt;='Enter and Change Data Here'!$G$26,'Enter and Change Data Here'!$O$23+'Enter and Change Data Here'!$O$24,0)</f>
        <v>5239915.254237289</v>
      </c>
      <c r="R47" s="2"/>
      <c r="S47" s="6">
        <f>IF(S2&lt;='Enter and Change Data Here'!$G$26,'Enter and Change Data Here'!$O$23+'Enter and Change Data Here'!$O$24,0)</f>
        <v>5239915.254237289</v>
      </c>
      <c r="T47" s="2"/>
      <c r="U47" s="6">
        <f>IF(U2&lt;='Enter and Change Data Here'!$G$26,'Enter and Change Data Here'!$O$23+'Enter and Change Data Here'!$O$24,0)</f>
        <v>5239915.254237289</v>
      </c>
      <c r="V47" s="2"/>
      <c r="W47" s="6">
        <f>IF(W2&lt;='Enter and Change Data Here'!$G$26,'Enter and Change Data Here'!$O$23+'Enter and Change Data Here'!$O$24,0)</f>
        <v>5239915.254237289</v>
      </c>
      <c r="X47" s="2"/>
      <c r="Y47" s="6">
        <f>IF(Y2&lt;='Enter and Change Data Here'!$G$26,'Enter and Change Data Here'!$O$23+'Enter and Change Data Here'!$O$24,0)</f>
        <v>5239915.254237289</v>
      </c>
      <c r="Z47" s="2"/>
      <c r="AA47" s="6">
        <f>IF(AA2&lt;='Enter and Change Data Here'!$G$26,'Enter and Change Data Here'!$O$23+'Enter and Change Data Here'!$O$24,0)</f>
        <v>5239915.254237289</v>
      </c>
      <c r="AB47" s="2"/>
      <c r="AC47" s="6">
        <f>IF(AC2&lt;='Enter and Change Data Here'!$G$26,'Enter and Change Data Here'!$O$23+'Enter and Change Data Here'!$O$24,0)</f>
        <v>5239915.254237289</v>
      </c>
      <c r="AD47" s="32"/>
      <c r="AE47" s="6">
        <f>IF(AE2&lt;='Enter and Change Data Here'!$G$26,'Enter and Change Data Here'!$O$23+'Enter and Change Data Here'!$O$24,0)</f>
        <v>5239915.254237289</v>
      </c>
      <c r="AF47" s="2"/>
      <c r="AG47" s="6">
        <f>IF(AG2&lt;='Enter and Change Data Here'!$G$26,'Enter and Change Data Here'!$O$23+'Enter and Change Data Here'!$O$24,0)</f>
        <v>5239915.254237289</v>
      </c>
      <c r="AH47" s="2"/>
      <c r="AI47" s="6">
        <f>IF(AI2&lt;='Enter and Change Data Here'!$G$26,'Enter and Change Data Here'!$O$23+'Enter and Change Data Here'!$O$24,0)</f>
        <v>5239915.254237289</v>
      </c>
      <c r="AJ47" s="2"/>
      <c r="AK47" s="6">
        <f>IF(AK2&lt;='Enter and Change Data Here'!$G$26,'Enter and Change Data Here'!$O$23+'Enter and Change Data Here'!$O$24,0)</f>
        <v>5239915.254237289</v>
      </c>
      <c r="AL47" s="2"/>
      <c r="AM47" s="6">
        <f>IF(AM2&lt;='Enter and Change Data Here'!$G$26,'Enter and Change Data Here'!$O$23+'Enter and Change Data Here'!$O$24,0)</f>
        <v>5239915.254237289</v>
      </c>
      <c r="AN47" s="2"/>
      <c r="AO47" s="6">
        <f>IF(AO2&lt;='Enter and Change Data Here'!$G$26,'Enter and Change Data Here'!$O$23+'Enter and Change Data Here'!$O$24,0)</f>
        <v>5239915.254237289</v>
      </c>
      <c r="AP47" s="2"/>
      <c r="AQ47" s="6">
        <f>IF(AQ2&lt;='Enter and Change Data Here'!$G$26,'Enter and Change Data Here'!$O$23+'Enter and Change Data Here'!$O$24,0)</f>
        <v>5239915.254237289</v>
      </c>
      <c r="AR47" s="2"/>
      <c r="AS47" s="6">
        <f>IF(AS2&lt;='Enter and Change Data Here'!$G$26,'Enter and Change Data Here'!$O$23+'Enter and Change Data Here'!$O$24,0)</f>
        <v>5239915.254237289</v>
      </c>
      <c r="AT47" s="2"/>
      <c r="AU47" s="6">
        <f>IF(AU2&lt;='Enter and Change Data Here'!$G$26,'Enter and Change Data Here'!$O$23+'Enter and Change Data Here'!$O$24,0)</f>
        <v>5239915.254237289</v>
      </c>
      <c r="AV47" s="2"/>
      <c r="AW47" s="6">
        <f>IF(AW2&lt;='Enter and Change Data Here'!$G$26,'Enter and Change Data Here'!$O$23+'Enter and Change Data Here'!$O$24,0)</f>
        <v>5239915.254237289</v>
      </c>
      <c r="AX47" s="32"/>
      <c r="AY47" s="6">
        <f>IF(AY2&lt;='Enter and Change Data Here'!$G$26,'Enter and Change Data Here'!$O$23+'Enter and Change Data Here'!$O$24,0)</f>
        <v>5239915.254237289</v>
      </c>
      <c r="AZ47" s="2"/>
      <c r="BA47" s="6">
        <f>IF(BA2&lt;='Enter and Change Data Here'!$G$26,'Enter and Change Data Here'!$O$23+'Enter and Change Data Here'!$O$24,0)</f>
        <v>5239915.254237289</v>
      </c>
      <c r="BB47" s="2"/>
      <c r="BC47" s="6">
        <f>IF(BC2&lt;='Enter and Change Data Here'!$G$26,'Enter and Change Data Here'!$O$23+'Enter and Change Data Here'!$O$24,0)</f>
        <v>5239915.254237289</v>
      </c>
      <c r="BD47" s="2"/>
      <c r="BE47" s="6">
        <f>IF(BE2&lt;='Enter and Change Data Here'!$G$26,'Enter and Change Data Here'!$O$23+'Enter and Change Data Here'!$O$24,0)</f>
        <v>5239915.254237289</v>
      </c>
      <c r="BF47" s="2"/>
      <c r="BG47" s="6">
        <f>IF(BG2&lt;='Enter and Change Data Here'!$G$26,'Enter and Change Data Here'!$O$23+'Enter and Change Data Here'!$O$24,0)</f>
        <v>5239915.254237289</v>
      </c>
      <c r="BH47" s="2"/>
      <c r="BI47" s="6">
        <f>IF(BI2&lt;='Enter and Change Data Here'!$G$26,'Enter and Change Data Here'!$O$23+'Enter and Change Data Here'!$O$24,0)</f>
        <v>0</v>
      </c>
      <c r="BJ47" s="2"/>
      <c r="BK47" s="6">
        <f>IF(BK2&lt;='Enter and Change Data Here'!$G$26,'Enter and Change Data Here'!$O$23+'Enter and Change Data Here'!$O$24,0)</f>
        <v>0</v>
      </c>
      <c r="BL47" s="2"/>
      <c r="BM47" s="6">
        <f>IF(BM2&lt;='Enter and Change Data Here'!$G$26,'Enter and Change Data Here'!$O$23+'Enter and Change Data Here'!$O$24,0)</f>
        <v>0</v>
      </c>
      <c r="BN47" s="2"/>
      <c r="BO47" s="6">
        <f>IF(BO2&lt;='Enter and Change Data Here'!$G$26,'Enter and Change Data Here'!$O$23+'Enter and Change Data Here'!$O$24,0)</f>
        <v>0</v>
      </c>
      <c r="BP47" s="2"/>
      <c r="BQ47" s="6">
        <f>IF(BQ2&lt;='Enter and Change Data Here'!$G$26,'Enter and Change Data Here'!$O$23+'Enter and Change Data Here'!$O$24,0)</f>
        <v>0</v>
      </c>
      <c r="BR47" s="32"/>
      <c r="BS47" s="6">
        <f>IF(BS2&lt;='Enter and Change Data Here'!$G$26,'Enter and Change Data Here'!$O$23+'Enter and Change Data Here'!$O$24,0)</f>
        <v>0</v>
      </c>
      <c r="BT47" s="2"/>
      <c r="BU47" s="6">
        <f>IF(BU2&lt;='Enter and Change Data Here'!$G$26,'Enter and Change Data Here'!$O$23+'Enter and Change Data Here'!$O$24,0)</f>
        <v>0</v>
      </c>
      <c r="BV47" s="2"/>
      <c r="BW47" s="6">
        <f>IF(BW2&lt;='Enter and Change Data Here'!$G$26,'Enter and Change Data Here'!$O$23+'Enter and Change Data Here'!$O$24,0)</f>
        <v>0</v>
      </c>
      <c r="BX47" s="2"/>
      <c r="BY47" s="6">
        <f>IF(BY2&lt;='Enter and Change Data Here'!$G$26,'Enter and Change Data Here'!$O$23+'Enter and Change Data Here'!$O$24,0)</f>
        <v>0</v>
      </c>
      <c r="BZ47" s="2"/>
      <c r="CA47" s="6">
        <f>IF(CA2&lt;='Enter and Change Data Here'!$G$26,'Enter and Change Data Here'!$O$23+'Enter and Change Data Here'!$O$24,0)</f>
        <v>0</v>
      </c>
      <c r="CB47" s="2"/>
      <c r="CC47" s="6">
        <f>IF(CC2&lt;='Enter and Change Data Here'!$G$26,'Enter and Change Data Here'!$O$23+'Enter and Change Data Here'!$O$24,0)</f>
        <v>0</v>
      </c>
      <c r="CD47" s="2"/>
      <c r="CE47" s="6">
        <f>IF(CE2&lt;='Enter and Change Data Here'!$G$26,'Enter and Change Data Here'!$O$23+'Enter and Change Data Here'!$O$24,0)</f>
        <v>0</v>
      </c>
      <c r="CF47" s="2"/>
      <c r="CG47" s="6">
        <f>IF(CG2&lt;='Enter and Change Data Here'!$G$26,'Enter and Change Data Here'!$O$23+'Enter and Change Data Here'!$O$24,0)</f>
        <v>0</v>
      </c>
      <c r="CH47" s="2"/>
      <c r="CI47" s="6">
        <f>IF(CI2&lt;='Enter and Change Data Here'!$G$26,'Enter and Change Data Here'!$O$23+'Enter and Change Data Here'!$O$24,0)</f>
        <v>0</v>
      </c>
      <c r="CJ47" s="2"/>
      <c r="CK47" s="6">
        <f>IF(CK2&lt;='Enter and Change Data Here'!$G$26,'Enter and Change Data Here'!$O$23+'Enter and Change Data Here'!$O$24,0)</f>
        <v>0</v>
      </c>
      <c r="CL47" s="32"/>
      <c r="CM47" s="6">
        <f>IF(CM2&lt;='Enter and Change Data Here'!$G$26,'Enter and Change Data Here'!$O$23+'Enter and Change Data Here'!$O$24,0)</f>
        <v>0</v>
      </c>
      <c r="CN47" s="2"/>
      <c r="CO47" s="6">
        <f>IF(CO2&lt;='Enter and Change Data Here'!$G$26,'Enter and Change Data Here'!$O$23+'Enter and Change Data Here'!$O$24,0)</f>
        <v>0</v>
      </c>
      <c r="CP47" s="2"/>
      <c r="CQ47" s="6">
        <f>IF(CQ2&lt;='Enter and Change Data Here'!$G$26,'Enter and Change Data Here'!$O$23+'Enter and Change Data Here'!$O$24,0)</f>
        <v>0</v>
      </c>
      <c r="CR47" s="2"/>
      <c r="CS47" s="6">
        <f>IF(CS2&lt;='Enter and Change Data Here'!$G$26,'Enter and Change Data Here'!$O$23+'Enter and Change Data Here'!$O$24,0)</f>
        <v>0</v>
      </c>
      <c r="CT47" s="2"/>
      <c r="CU47" s="6">
        <f>IF(CU2&lt;='Enter and Change Data Here'!$G$26,'Enter and Change Data Here'!$O$23+'Enter and Change Data Here'!$O$24,0)</f>
        <v>0</v>
      </c>
      <c r="CV47" s="2"/>
      <c r="CW47" s="6">
        <f>IF(CW2&lt;='Enter and Change Data Here'!$G$26,'Enter and Change Data Here'!$O$23+'Enter and Change Data Here'!$O$24,0)</f>
        <v>0</v>
      </c>
      <c r="CX47" s="2"/>
      <c r="CY47" s="6">
        <f>IF(CY2&lt;='Enter and Change Data Here'!$G$26,'Enter and Change Data Here'!$O$23+'Enter and Change Data Here'!$O$24,0)</f>
        <v>0</v>
      </c>
      <c r="CZ47" s="2"/>
      <c r="DA47" s="6">
        <f>IF(DA2&lt;='Enter and Change Data Here'!$G$26,'Enter and Change Data Here'!$O$23+'Enter and Change Data Here'!$O$24,0)</f>
        <v>0</v>
      </c>
      <c r="DB47" s="2"/>
      <c r="DC47" s="6">
        <f>IF(DC2&lt;='Enter and Change Data Here'!$G$26,'Enter and Change Data Here'!$O$23+'Enter and Change Data Here'!$O$24,0)</f>
        <v>0</v>
      </c>
      <c r="DD47" s="2"/>
      <c r="DE47" s="6">
        <f>IF(DE2&lt;='Enter and Change Data Here'!$G$26,'Enter and Change Data Here'!$O$23+'Enter and Change Data Here'!$O$24,0)</f>
        <v>0</v>
      </c>
      <c r="DF47" s="198"/>
      <c r="DG47" s="3"/>
      <c r="DH47" s="198"/>
    </row>
    <row r="48" spans="2:112" ht="12.75">
      <c r="B48" s="3"/>
      <c r="C48" s="2" t="s">
        <v>86</v>
      </c>
      <c r="D48" s="2"/>
      <c r="E48" s="2"/>
      <c r="F48" s="2"/>
      <c r="G48" s="150" t="str">
        <f>CONCATENATE("(",'Enter and Change Data Here'!$G$13,")")</f>
        <v>($US)</v>
      </c>
      <c r="H48" s="32"/>
      <c r="I48" s="6">
        <v>0</v>
      </c>
      <c r="J48" s="2"/>
      <c r="K48" s="6">
        <f>IF(K2&lt;='Enter and Change Data Here'!$G$26,IF('Cash Flow'!K2&lt;='Enter and Change Data Here'!$O$87,-('Enter and Change Data Here'!$O$23+'Enter and Change Data Here'!$O$24)/'Enter and Change Data Here'!$O$87*'Cash Flow'!K2,-('Enter and Change Data Here'!$O$23+'Enter and Change Data Here'!$O$24)),0)</f>
        <v>-261995.76271186443</v>
      </c>
      <c r="L48" s="2"/>
      <c r="M48" s="6">
        <f>IF(M2&lt;='Enter and Change Data Here'!$G$26,IF('Cash Flow'!M2&lt;='Enter and Change Data Here'!$O$87,-('Enter and Change Data Here'!$O$23+'Enter and Change Data Here'!$O$24)/'Enter and Change Data Here'!$O$87*'Cash Flow'!M2,-('Enter and Change Data Here'!$O$23+'Enter and Change Data Here'!$O$24)),0)</f>
        <v>-523991.52542372886</v>
      </c>
      <c r="N48" s="2"/>
      <c r="O48" s="6">
        <f>IF(O2&lt;='Enter and Change Data Here'!$G$26,IF('Cash Flow'!O2&lt;='Enter and Change Data Here'!$O$87,-('Enter and Change Data Here'!$O$23+'Enter and Change Data Here'!$O$24)/'Enter and Change Data Here'!$O$87*'Cash Flow'!O2,-('Enter and Change Data Here'!$O$23+'Enter and Change Data Here'!$O$24)),0)</f>
        <v>-785987.2881355933</v>
      </c>
      <c r="P48" s="2"/>
      <c r="Q48" s="6">
        <f>IF(Q2&lt;='Enter and Change Data Here'!$G$26,IF('Cash Flow'!Q2&lt;='Enter and Change Data Here'!$O$87,-('Enter and Change Data Here'!$O$23+'Enter and Change Data Here'!$O$24)/'Enter and Change Data Here'!$O$87*'Cash Flow'!Q2,-('Enter and Change Data Here'!$O$23+'Enter and Change Data Here'!$O$24)),0)</f>
        <v>-1047983.0508474577</v>
      </c>
      <c r="R48" s="2"/>
      <c r="S48" s="6">
        <f>IF(S2&lt;='Enter and Change Data Here'!$G$26,IF('Cash Flow'!S2&lt;='Enter and Change Data Here'!$O$87,-('Enter and Change Data Here'!$O$23+'Enter and Change Data Here'!$O$24)/'Enter and Change Data Here'!$O$87*'Cash Flow'!S2,-('Enter and Change Data Here'!$O$23+'Enter and Change Data Here'!$O$24)),0)</f>
        <v>-1309978.8135593222</v>
      </c>
      <c r="T48" s="2"/>
      <c r="U48" s="6">
        <f>IF(U2&lt;='Enter and Change Data Here'!$G$26,IF('Cash Flow'!U2&lt;='Enter and Change Data Here'!$O$87,-('Enter and Change Data Here'!$O$23+'Enter and Change Data Here'!$O$24)/'Enter and Change Data Here'!$O$87*'Cash Flow'!U2,-('Enter and Change Data Here'!$O$23+'Enter and Change Data Here'!$O$24)),0)</f>
        <v>-1571974.5762711866</v>
      </c>
      <c r="V48" s="2"/>
      <c r="W48" s="6">
        <f>IF(W2&lt;='Enter and Change Data Here'!$G$26,IF('Cash Flow'!W2&lt;='Enter and Change Data Here'!$O$87,-('Enter and Change Data Here'!$O$23+'Enter and Change Data Here'!$O$24)/'Enter and Change Data Here'!$O$87*'Cash Flow'!W2,-('Enter and Change Data Here'!$O$23+'Enter and Change Data Here'!$O$24)),0)</f>
        <v>-1833970.338983051</v>
      </c>
      <c r="X48" s="2"/>
      <c r="Y48" s="6">
        <f>IF(Y2&lt;='Enter and Change Data Here'!$G$26,IF('Cash Flow'!Y2&lt;='Enter and Change Data Here'!$O$87,-('Enter and Change Data Here'!$O$23+'Enter and Change Data Here'!$O$24)/'Enter and Change Data Here'!$O$87*'Cash Flow'!Y2,-('Enter and Change Data Here'!$O$23+'Enter and Change Data Here'!$O$24)),0)</f>
        <v>-2095966.1016949154</v>
      </c>
      <c r="Z48" s="2"/>
      <c r="AA48" s="6">
        <f>IF(AA2&lt;='Enter and Change Data Here'!$G$26,IF('Cash Flow'!AA2&lt;='Enter and Change Data Here'!$O$87,-('Enter and Change Data Here'!$O$23+'Enter and Change Data Here'!$O$24)/'Enter and Change Data Here'!$O$87*'Cash Flow'!AA2,-('Enter and Change Data Here'!$O$23+'Enter and Change Data Here'!$O$24)),0)</f>
        <v>-2357961.86440678</v>
      </c>
      <c r="AB48" s="2"/>
      <c r="AC48" s="6">
        <f>IF(AC2&lt;='Enter and Change Data Here'!$G$26,IF('Cash Flow'!AC2&lt;='Enter and Change Data Here'!$O$87,-('Enter and Change Data Here'!$O$23+'Enter and Change Data Here'!$O$24)/'Enter and Change Data Here'!$O$87*'Cash Flow'!AC2,-('Enter and Change Data Here'!$O$23+'Enter and Change Data Here'!$O$24)),0)</f>
        <v>-2619957.6271186443</v>
      </c>
      <c r="AD48" s="32"/>
      <c r="AE48" s="6">
        <f>IF(AE2&lt;='Enter and Change Data Here'!$G$26,IF('Cash Flow'!AE2&lt;='Enter and Change Data Here'!$O$87,-('Enter and Change Data Here'!$O$23+'Enter and Change Data Here'!$O$24)/'Enter and Change Data Here'!$O$87*'Cash Flow'!AE2,-('Enter and Change Data Here'!$O$23+'Enter and Change Data Here'!$O$24)),0)</f>
        <v>-2881953.3898305087</v>
      </c>
      <c r="AF48" s="2"/>
      <c r="AG48" s="6">
        <f>IF(AG2&lt;='Enter and Change Data Here'!$G$26,IF('Cash Flow'!AG2&lt;='Enter and Change Data Here'!$O$87,-('Enter and Change Data Here'!$O$23+'Enter and Change Data Here'!$O$24)/'Enter and Change Data Here'!$O$87*'Cash Flow'!AG2,-('Enter and Change Data Here'!$O$23+'Enter and Change Data Here'!$O$24)),0)</f>
        <v>-3143949.152542373</v>
      </c>
      <c r="AH48" s="2"/>
      <c r="AI48" s="6">
        <f>IF(AI2&lt;='Enter and Change Data Here'!$G$26,IF('Cash Flow'!AI2&lt;='Enter and Change Data Here'!$O$87,-('Enter and Change Data Here'!$O$23+'Enter and Change Data Here'!$O$24)/'Enter and Change Data Here'!$O$87*'Cash Flow'!AI2,-('Enter and Change Data Here'!$O$23+'Enter and Change Data Here'!$O$24)),0)</f>
        <v>-3405944.9152542376</v>
      </c>
      <c r="AJ48" s="2"/>
      <c r="AK48" s="6">
        <f>IF(AK2&lt;='Enter and Change Data Here'!$G$26,IF('Cash Flow'!AK2&lt;='Enter and Change Data Here'!$O$87,-('Enter and Change Data Here'!$O$23+'Enter and Change Data Here'!$O$24)/'Enter and Change Data Here'!$O$87*'Cash Flow'!AK2,-('Enter and Change Data Here'!$O$23+'Enter and Change Data Here'!$O$24)),0)</f>
        <v>-3667940.677966102</v>
      </c>
      <c r="AL48" s="2"/>
      <c r="AM48" s="6">
        <f>IF(AM2&lt;='Enter and Change Data Here'!$G$26,IF('Cash Flow'!AM2&lt;='Enter and Change Data Here'!$O$87,-('Enter and Change Data Here'!$O$23+'Enter and Change Data Here'!$O$24)/'Enter and Change Data Here'!$O$87*'Cash Flow'!AM2,-('Enter and Change Data Here'!$O$23+'Enter and Change Data Here'!$O$24)),0)</f>
        <v>-3929936.4406779665</v>
      </c>
      <c r="AN48" s="2"/>
      <c r="AO48" s="6">
        <f>IF(AO2&lt;='Enter and Change Data Here'!$G$26,IF('Cash Flow'!AO2&lt;='Enter and Change Data Here'!$O$87,-('Enter and Change Data Here'!$O$23+'Enter and Change Data Here'!$O$24)/'Enter and Change Data Here'!$O$87*'Cash Flow'!AO2,-('Enter and Change Data Here'!$O$23+'Enter and Change Data Here'!$O$24)),0)</f>
        <v>-4191932.203389831</v>
      </c>
      <c r="AP48" s="2"/>
      <c r="AQ48" s="6">
        <f>IF(AQ2&lt;='Enter and Change Data Here'!$G$26,IF('Cash Flow'!AQ2&lt;='Enter and Change Data Here'!$O$87,-('Enter and Change Data Here'!$O$23+'Enter and Change Data Here'!$O$24)/'Enter and Change Data Here'!$O$87*'Cash Flow'!AQ2,-('Enter and Change Data Here'!$O$23+'Enter and Change Data Here'!$O$24)),0)</f>
        <v>-4453927.966101695</v>
      </c>
      <c r="AR48" s="2"/>
      <c r="AS48" s="6">
        <f>IF(AS2&lt;='Enter and Change Data Here'!$G$26,IF('Cash Flow'!AS2&lt;='Enter and Change Data Here'!$O$87,-('Enter and Change Data Here'!$O$23+'Enter and Change Data Here'!$O$24)/'Enter and Change Data Here'!$O$87*'Cash Flow'!AS2,-('Enter and Change Data Here'!$O$23+'Enter and Change Data Here'!$O$24)),0)</f>
        <v>-4715923.72881356</v>
      </c>
      <c r="AT48" s="2"/>
      <c r="AU48" s="6">
        <f>IF(AU2&lt;='Enter and Change Data Here'!$G$26,IF('Cash Flow'!AU2&lt;='Enter and Change Data Here'!$O$87,-('Enter and Change Data Here'!$O$23+'Enter and Change Data Here'!$O$24)/'Enter and Change Data Here'!$O$87*'Cash Flow'!AU2,-('Enter and Change Data Here'!$O$23+'Enter and Change Data Here'!$O$24)),0)</f>
        <v>-4977919.491525425</v>
      </c>
      <c r="AV48" s="2"/>
      <c r="AW48" s="6">
        <f>IF(AW2&lt;='Enter and Change Data Here'!$G$26,IF('Cash Flow'!AW2&lt;='Enter and Change Data Here'!$O$87,-('Enter and Change Data Here'!$O$23+'Enter and Change Data Here'!$O$24)/'Enter and Change Data Here'!$O$87*'Cash Flow'!AW2,-('Enter and Change Data Here'!$O$23+'Enter and Change Data Here'!$O$24)),0)</f>
        <v>-5239915.254237289</v>
      </c>
      <c r="AX48" s="32"/>
      <c r="AY48" s="6">
        <f>IF(AY2&lt;='Enter and Change Data Here'!$G$26,IF('Cash Flow'!AY2&lt;='Enter and Change Data Here'!$O$87,-('Enter and Change Data Here'!$O$23+'Enter and Change Data Here'!$O$24)/'Enter and Change Data Here'!$O$87*'Cash Flow'!AY2,-('Enter and Change Data Here'!$O$23+'Enter and Change Data Here'!$O$24)),0)</f>
        <v>-5239915.254237289</v>
      </c>
      <c r="AZ48" s="2"/>
      <c r="BA48" s="6">
        <f>IF(BA2&lt;='Enter and Change Data Here'!$G$26,IF('Cash Flow'!BA2&lt;='Enter and Change Data Here'!$O$87,-('Enter and Change Data Here'!$O$23+'Enter and Change Data Here'!$O$24)/'Enter and Change Data Here'!$O$87*'Cash Flow'!BA2,-('Enter and Change Data Here'!$O$23+'Enter and Change Data Here'!$O$24)),0)</f>
        <v>-5239915.254237289</v>
      </c>
      <c r="BB48" s="2"/>
      <c r="BC48" s="6">
        <f>IF(BC2&lt;='Enter and Change Data Here'!$G$26,IF('Cash Flow'!BC2&lt;='Enter and Change Data Here'!$O$87,-('Enter and Change Data Here'!$O$23+'Enter and Change Data Here'!$O$24)/'Enter and Change Data Here'!$O$87*'Cash Flow'!BC2,-('Enter and Change Data Here'!$O$23+'Enter and Change Data Here'!$O$24)),0)</f>
        <v>-5239915.254237289</v>
      </c>
      <c r="BD48" s="2"/>
      <c r="BE48" s="6">
        <f>IF(BE2&lt;='Enter and Change Data Here'!$G$26,IF('Cash Flow'!BE2&lt;='Enter and Change Data Here'!$O$87,-('Enter and Change Data Here'!$O$23+'Enter and Change Data Here'!$O$24)/'Enter and Change Data Here'!$O$87*'Cash Flow'!BE2,-('Enter and Change Data Here'!$O$23+'Enter and Change Data Here'!$O$24)),0)</f>
        <v>-5239915.254237289</v>
      </c>
      <c r="BF48" s="2"/>
      <c r="BG48" s="6">
        <f>IF(BG2&lt;='Enter and Change Data Here'!$G$26,IF('Cash Flow'!BG2&lt;='Enter and Change Data Here'!$O$87,-('Enter and Change Data Here'!$O$23+'Enter and Change Data Here'!$O$24)/'Enter and Change Data Here'!$O$87*'Cash Flow'!BG2,-('Enter and Change Data Here'!$O$23+'Enter and Change Data Here'!$O$24)),0)</f>
        <v>-5239915.254237289</v>
      </c>
      <c r="BH48" s="2"/>
      <c r="BI48" s="6">
        <f>IF(BI2&lt;='Enter and Change Data Here'!$G$26,IF('Cash Flow'!BI2&lt;='Enter and Change Data Here'!$O$87,-('Enter and Change Data Here'!$O$23+'Enter and Change Data Here'!$O$24)/'Enter and Change Data Here'!$O$87*'Cash Flow'!BI2,-('Enter and Change Data Here'!$O$23+'Enter and Change Data Here'!$O$24)),0)</f>
        <v>0</v>
      </c>
      <c r="BJ48" s="2"/>
      <c r="BK48" s="6">
        <f>IF(BK2&lt;='Enter and Change Data Here'!$G$26,IF('Cash Flow'!BK2&lt;='Enter and Change Data Here'!$O$87,-('Enter and Change Data Here'!$O$23+'Enter and Change Data Here'!$O$24)/'Enter and Change Data Here'!$O$87*'Cash Flow'!BK2,-('Enter and Change Data Here'!$O$23+'Enter and Change Data Here'!$O$24)),0)</f>
        <v>0</v>
      </c>
      <c r="BL48" s="2"/>
      <c r="BM48" s="6">
        <f>IF(BM2&lt;='Enter and Change Data Here'!$G$26,IF('Cash Flow'!BM2&lt;='Enter and Change Data Here'!$O$87,-('Enter and Change Data Here'!$O$23+'Enter and Change Data Here'!$O$24)/'Enter and Change Data Here'!$O$87*'Cash Flow'!BM2,-('Enter and Change Data Here'!$O$23+'Enter and Change Data Here'!$O$24)),0)</f>
        <v>0</v>
      </c>
      <c r="BN48" s="2"/>
      <c r="BO48" s="6">
        <f>IF(BO2&lt;='Enter and Change Data Here'!$G$26,IF('Cash Flow'!BO2&lt;='Enter and Change Data Here'!$O$87,-('Enter and Change Data Here'!$O$23+'Enter and Change Data Here'!$O$24)/'Enter and Change Data Here'!$O$87*'Cash Flow'!BO2,-('Enter and Change Data Here'!$O$23+'Enter and Change Data Here'!$O$24)),0)</f>
        <v>0</v>
      </c>
      <c r="BP48" s="2"/>
      <c r="BQ48" s="6">
        <f>IF(BQ2&lt;='Enter and Change Data Here'!$G$26,IF('Cash Flow'!BQ2&lt;='Enter and Change Data Here'!$O$87,-('Enter and Change Data Here'!$O$23+'Enter and Change Data Here'!$O$24)/'Enter and Change Data Here'!$O$87*'Cash Flow'!BQ2,-('Enter and Change Data Here'!$O$23+'Enter and Change Data Here'!$O$24)),0)</f>
        <v>0</v>
      </c>
      <c r="BR48" s="32"/>
      <c r="BS48" s="6">
        <f>IF(BS2&lt;='Enter and Change Data Here'!$G$26,IF('Cash Flow'!BS2&lt;='Enter and Change Data Here'!$O$87,-('Enter and Change Data Here'!$O$23+'Enter and Change Data Here'!$O$24)/'Enter and Change Data Here'!$O$87*'Cash Flow'!BS2,-('Enter and Change Data Here'!$O$23+'Enter and Change Data Here'!$O$24)),0)</f>
        <v>0</v>
      </c>
      <c r="BT48" s="2"/>
      <c r="BU48" s="6">
        <f>IF(BU2&lt;='Enter and Change Data Here'!$G$26,IF('Cash Flow'!BU2&lt;='Enter and Change Data Here'!$O$87,-('Enter and Change Data Here'!$O$23+'Enter and Change Data Here'!$O$24)/'Enter and Change Data Here'!$O$87*'Cash Flow'!BU2,-('Enter and Change Data Here'!$O$23+'Enter and Change Data Here'!$O$24)),0)</f>
        <v>0</v>
      </c>
      <c r="BV48" s="2"/>
      <c r="BW48" s="6">
        <f>IF(BW2&lt;='Enter and Change Data Here'!$G$26,IF('Cash Flow'!BW2&lt;='Enter and Change Data Here'!$O$87,-('Enter and Change Data Here'!$O$23+'Enter and Change Data Here'!$O$24)/'Enter and Change Data Here'!$O$87*'Cash Flow'!BW2,-('Enter and Change Data Here'!$O$23+'Enter and Change Data Here'!$O$24)),0)</f>
        <v>0</v>
      </c>
      <c r="BX48" s="2"/>
      <c r="BY48" s="6">
        <f>IF(BY2&lt;='Enter and Change Data Here'!$G$26,IF('Cash Flow'!BY2&lt;='Enter and Change Data Here'!$O$87,-('Enter and Change Data Here'!$O$23+'Enter and Change Data Here'!$O$24)/'Enter and Change Data Here'!$O$87*'Cash Flow'!BY2,-('Enter and Change Data Here'!$O$23+'Enter and Change Data Here'!$O$24)),0)</f>
        <v>0</v>
      </c>
      <c r="BZ48" s="2"/>
      <c r="CA48" s="6">
        <f>IF(CA2&lt;='Enter and Change Data Here'!$G$26,IF('Cash Flow'!CA2&lt;='Enter and Change Data Here'!$O$87,-('Enter and Change Data Here'!$O$23+'Enter and Change Data Here'!$O$24)/'Enter and Change Data Here'!$O$87*'Cash Flow'!CA2,-('Enter and Change Data Here'!$O$23+'Enter and Change Data Here'!$O$24)),0)</f>
        <v>0</v>
      </c>
      <c r="CB48" s="2"/>
      <c r="CC48" s="6">
        <f>IF(CC2&lt;='Enter and Change Data Here'!$G$26,IF('Cash Flow'!CC2&lt;='Enter and Change Data Here'!$O$87,-('Enter and Change Data Here'!$O$23+'Enter and Change Data Here'!$O$24)/'Enter and Change Data Here'!$O$87*'Cash Flow'!CC2,-('Enter and Change Data Here'!$O$23+'Enter and Change Data Here'!$O$24)),0)</f>
        <v>0</v>
      </c>
      <c r="CD48" s="2"/>
      <c r="CE48" s="6">
        <f>IF(CE2&lt;='Enter and Change Data Here'!$G$26,IF('Cash Flow'!CE2&lt;='Enter and Change Data Here'!$O$87,-('Enter and Change Data Here'!$O$23+'Enter and Change Data Here'!$O$24)/'Enter and Change Data Here'!$O$87*'Cash Flow'!CE2,-('Enter and Change Data Here'!$O$23+'Enter and Change Data Here'!$O$24)),0)</f>
        <v>0</v>
      </c>
      <c r="CF48" s="2"/>
      <c r="CG48" s="6">
        <f>IF(CG2&lt;='Enter and Change Data Here'!$G$26,IF('Cash Flow'!CG2&lt;='Enter and Change Data Here'!$O$87,-('Enter and Change Data Here'!$O$23+'Enter and Change Data Here'!$O$24)/'Enter and Change Data Here'!$O$87*'Cash Flow'!CG2,-('Enter and Change Data Here'!$O$23+'Enter and Change Data Here'!$O$24)),0)</f>
        <v>0</v>
      </c>
      <c r="CH48" s="2"/>
      <c r="CI48" s="6">
        <f>IF(CI2&lt;='Enter and Change Data Here'!$G$26,IF('Cash Flow'!CI2&lt;='Enter and Change Data Here'!$O$87,-('Enter and Change Data Here'!$O$23+'Enter and Change Data Here'!$O$24)/'Enter and Change Data Here'!$O$87*'Cash Flow'!CI2,-('Enter and Change Data Here'!$O$23+'Enter and Change Data Here'!$O$24)),0)</f>
        <v>0</v>
      </c>
      <c r="CJ48" s="2"/>
      <c r="CK48" s="6">
        <f>IF(CK2&lt;='Enter and Change Data Here'!$G$26,IF('Cash Flow'!CK2&lt;='Enter and Change Data Here'!$O$87,-('Enter and Change Data Here'!$O$23+'Enter and Change Data Here'!$O$24)/'Enter and Change Data Here'!$O$87*'Cash Flow'!CK2,-('Enter and Change Data Here'!$O$23+'Enter and Change Data Here'!$O$24)),0)</f>
        <v>0</v>
      </c>
      <c r="CL48" s="32"/>
      <c r="CM48" s="6">
        <f>IF(CM2&lt;='Enter and Change Data Here'!$G$26,IF('Cash Flow'!CM2&lt;='Enter and Change Data Here'!$O$87,-('Enter and Change Data Here'!$O$23+'Enter and Change Data Here'!$O$24)/'Enter and Change Data Here'!$O$87*'Cash Flow'!CM2,-('Enter and Change Data Here'!$O$23+'Enter and Change Data Here'!$O$24)),0)</f>
        <v>0</v>
      </c>
      <c r="CN48" s="2"/>
      <c r="CO48" s="6">
        <f>IF(CO2&lt;='Enter and Change Data Here'!$G$26,IF('Cash Flow'!CO2&lt;='Enter and Change Data Here'!$O$87,-('Enter and Change Data Here'!$O$23+'Enter and Change Data Here'!$O$24)/'Enter and Change Data Here'!$O$87*'Cash Flow'!CO2,-('Enter and Change Data Here'!$O$23+'Enter and Change Data Here'!$O$24)),0)</f>
        <v>0</v>
      </c>
      <c r="CP48" s="2"/>
      <c r="CQ48" s="6">
        <f>IF(CQ2&lt;='Enter and Change Data Here'!$G$26,IF('Cash Flow'!CQ2&lt;='Enter and Change Data Here'!$O$87,-('Enter and Change Data Here'!$O$23+'Enter and Change Data Here'!$O$24)/'Enter and Change Data Here'!$O$87*'Cash Flow'!CQ2,-('Enter and Change Data Here'!$O$23+'Enter and Change Data Here'!$O$24)),0)</f>
        <v>0</v>
      </c>
      <c r="CR48" s="2"/>
      <c r="CS48" s="6">
        <f>IF(CS2&lt;='Enter and Change Data Here'!$G$26,IF('Cash Flow'!CS2&lt;='Enter and Change Data Here'!$O$87,-('Enter and Change Data Here'!$O$23+'Enter and Change Data Here'!$O$24)/'Enter and Change Data Here'!$O$87*'Cash Flow'!CS2,-('Enter and Change Data Here'!$O$23+'Enter and Change Data Here'!$O$24)),0)</f>
        <v>0</v>
      </c>
      <c r="CT48" s="2"/>
      <c r="CU48" s="6">
        <f>IF(CU2&lt;='Enter and Change Data Here'!$G$26,IF('Cash Flow'!CU2&lt;='Enter and Change Data Here'!$O$87,-('Enter and Change Data Here'!$O$23+'Enter and Change Data Here'!$O$24)/'Enter and Change Data Here'!$O$87*'Cash Flow'!CU2,-('Enter and Change Data Here'!$O$23+'Enter and Change Data Here'!$O$24)),0)</f>
        <v>0</v>
      </c>
      <c r="CV48" s="2"/>
      <c r="CW48" s="6">
        <f>IF(CW2&lt;='Enter and Change Data Here'!$G$26,IF('Cash Flow'!CW2&lt;='Enter and Change Data Here'!$O$87,-('Enter and Change Data Here'!$O$23+'Enter and Change Data Here'!$O$24)/'Enter and Change Data Here'!$O$87*'Cash Flow'!CW2,-('Enter and Change Data Here'!$O$23+'Enter and Change Data Here'!$O$24)),0)</f>
        <v>0</v>
      </c>
      <c r="CX48" s="2"/>
      <c r="CY48" s="6">
        <f>IF(CY2&lt;='Enter and Change Data Here'!$G$26,IF('Cash Flow'!CY2&lt;='Enter and Change Data Here'!$O$87,-('Enter and Change Data Here'!$O$23+'Enter and Change Data Here'!$O$24)/'Enter and Change Data Here'!$O$87*'Cash Flow'!CY2,-('Enter and Change Data Here'!$O$23+'Enter and Change Data Here'!$O$24)),0)</f>
        <v>0</v>
      </c>
      <c r="CZ48" s="2"/>
      <c r="DA48" s="6">
        <f>IF(DA2&lt;='Enter and Change Data Here'!$G$26,IF('Cash Flow'!DA2&lt;='Enter and Change Data Here'!$O$87,-('Enter and Change Data Here'!$O$23+'Enter and Change Data Here'!$O$24)/'Enter and Change Data Here'!$O$87*'Cash Flow'!DA2,-('Enter and Change Data Here'!$O$23+'Enter and Change Data Here'!$O$24)),0)</f>
        <v>0</v>
      </c>
      <c r="DB48" s="2"/>
      <c r="DC48" s="6">
        <f>IF(DC2&lt;='Enter and Change Data Here'!$G$26,IF('Cash Flow'!DC2&lt;='Enter and Change Data Here'!$O$87,-('Enter and Change Data Here'!$O$23+'Enter and Change Data Here'!$O$24)/'Enter and Change Data Here'!$O$87*'Cash Flow'!DC2,-('Enter and Change Data Here'!$O$23+'Enter and Change Data Here'!$O$24)),0)</f>
        <v>0</v>
      </c>
      <c r="DD48" s="2"/>
      <c r="DE48" s="6">
        <f>IF(DE2&lt;='Enter and Change Data Here'!$G$26,IF('Cash Flow'!DE2&lt;='Enter and Change Data Here'!$O$87,-('Enter and Change Data Here'!$O$23+'Enter and Change Data Here'!$O$24)/'Enter and Change Data Here'!$O$87*'Cash Flow'!DE2,-('Enter and Change Data Here'!$O$23+'Enter and Change Data Here'!$O$24)),0)</f>
        <v>0</v>
      </c>
      <c r="DF48" s="198"/>
      <c r="DG48" s="3"/>
      <c r="DH48" s="198"/>
    </row>
    <row r="49" spans="2:112" ht="12.75">
      <c r="B49" s="3"/>
      <c r="C49" s="2"/>
      <c r="D49" s="2"/>
      <c r="E49" s="2"/>
      <c r="F49" s="2"/>
      <c r="G49" s="150"/>
      <c r="H49" s="32"/>
      <c r="I49" s="6"/>
      <c r="J49" s="2"/>
      <c r="K49" s="6"/>
      <c r="L49" s="2"/>
      <c r="M49" s="6"/>
      <c r="N49" s="2"/>
      <c r="O49" s="6"/>
      <c r="P49" s="2"/>
      <c r="Q49" s="6"/>
      <c r="R49" s="2"/>
      <c r="S49" s="6"/>
      <c r="T49" s="2"/>
      <c r="U49" s="6"/>
      <c r="V49" s="2"/>
      <c r="W49" s="6"/>
      <c r="X49" s="2"/>
      <c r="Y49" s="6"/>
      <c r="Z49" s="2"/>
      <c r="AA49" s="6"/>
      <c r="AB49" s="2"/>
      <c r="AC49" s="6"/>
      <c r="AD49" s="32"/>
      <c r="AE49" s="6"/>
      <c r="AF49" s="2"/>
      <c r="AG49" s="6"/>
      <c r="AH49" s="2"/>
      <c r="AI49" s="6"/>
      <c r="AJ49" s="2"/>
      <c r="AK49" s="6"/>
      <c r="AL49" s="2"/>
      <c r="AM49" s="6"/>
      <c r="AN49" s="2"/>
      <c r="AO49" s="6"/>
      <c r="AP49" s="2"/>
      <c r="AQ49" s="6"/>
      <c r="AR49" s="2"/>
      <c r="AS49" s="6"/>
      <c r="AT49" s="2"/>
      <c r="AU49" s="6"/>
      <c r="AV49" s="2"/>
      <c r="AW49" s="6"/>
      <c r="AX49" s="32"/>
      <c r="AY49" s="6"/>
      <c r="AZ49" s="2"/>
      <c r="BA49" s="6"/>
      <c r="BB49" s="2"/>
      <c r="BC49" s="6"/>
      <c r="BD49" s="2"/>
      <c r="BE49" s="6"/>
      <c r="BF49" s="2"/>
      <c r="BG49" s="6"/>
      <c r="BH49" s="2"/>
      <c r="BI49" s="6"/>
      <c r="BJ49" s="2"/>
      <c r="BK49" s="6"/>
      <c r="BL49" s="2"/>
      <c r="BM49" s="6"/>
      <c r="BN49" s="2"/>
      <c r="BO49" s="6"/>
      <c r="BP49" s="2"/>
      <c r="BQ49" s="6"/>
      <c r="BR49" s="32"/>
      <c r="BS49" s="6"/>
      <c r="BT49" s="2"/>
      <c r="BU49" s="6"/>
      <c r="BV49" s="2"/>
      <c r="BW49" s="6"/>
      <c r="BX49" s="2"/>
      <c r="BY49" s="6"/>
      <c r="BZ49" s="2"/>
      <c r="CA49" s="6"/>
      <c r="CB49" s="2"/>
      <c r="CC49" s="6"/>
      <c r="CD49" s="2"/>
      <c r="CE49" s="6"/>
      <c r="CF49" s="2"/>
      <c r="CG49" s="6"/>
      <c r="CH49" s="2"/>
      <c r="CI49" s="6"/>
      <c r="CJ49" s="2"/>
      <c r="CK49" s="6"/>
      <c r="CL49" s="32"/>
      <c r="CM49" s="6"/>
      <c r="CN49" s="2"/>
      <c r="CO49" s="6"/>
      <c r="CP49" s="2"/>
      <c r="CQ49" s="6"/>
      <c r="CR49" s="2"/>
      <c r="CS49" s="6"/>
      <c r="CT49" s="2"/>
      <c r="CU49" s="6"/>
      <c r="CV49" s="2"/>
      <c r="CW49" s="6"/>
      <c r="CX49" s="2"/>
      <c r="CY49" s="6"/>
      <c r="CZ49" s="2"/>
      <c r="DA49" s="6"/>
      <c r="DB49" s="2"/>
      <c r="DC49" s="6"/>
      <c r="DD49" s="2"/>
      <c r="DE49" s="6"/>
      <c r="DF49" s="198"/>
      <c r="DG49" s="3"/>
      <c r="DH49" s="198"/>
    </row>
    <row r="50" spans="2:112" ht="12.75">
      <c r="B50" s="3"/>
      <c r="C50" s="2" t="s">
        <v>158</v>
      </c>
      <c r="D50" s="2"/>
      <c r="E50" s="2"/>
      <c r="F50" s="2"/>
      <c r="G50" s="150" t="str">
        <f>CONCATENATE("(",'Enter and Change Data Here'!$G$13,")")</f>
        <v>($US)</v>
      </c>
      <c r="H50" s="32"/>
      <c r="I50" s="147">
        <f>'Enter and Change Data Here'!O31</f>
        <v>37427966.10169493</v>
      </c>
      <c r="J50" s="2"/>
      <c r="K50" s="139">
        <f>IF(ABS(I50+K10-K16)&gt;0.05,I50+K10-K16,0)</f>
        <v>36696381.2976793</v>
      </c>
      <c r="L50" s="2"/>
      <c r="M50" s="139">
        <f>IF(ABS(K50+M10-M16)&gt;0.05,K50+M10-M16,0)</f>
        <v>35898953.861302264</v>
      </c>
      <c r="N50" s="2"/>
      <c r="O50" s="139">
        <f>IF(ABS(M50+O10-O16)&gt;0.05,M50+O10-O16,0)</f>
        <v>35029757.9556513</v>
      </c>
      <c r="P50" s="2"/>
      <c r="Q50" s="139">
        <f>IF(ABS(O50+Q10-Q16)&gt;0.05,O50+Q10-Q16,0)</f>
        <v>34082334.41849174</v>
      </c>
      <c r="R50" s="2"/>
      <c r="S50" s="139">
        <f>IF(ABS(Q50+S10-S16)&gt;0.05,Q50+S10-S16,0)</f>
        <v>33049642.762987826</v>
      </c>
      <c r="T50" s="2"/>
      <c r="U50" s="139">
        <f>IF(ABS(S50+U10-U16)&gt;0.05,S50+U10-U16,0)</f>
        <v>31924008.858488556</v>
      </c>
      <c r="V50" s="2"/>
      <c r="W50" s="139">
        <f>IF(ABS(U50+W10-W16)&gt;0.05,U50+W10-W16,0)</f>
        <v>30697067.90258435</v>
      </c>
      <c r="X50" s="2"/>
      <c r="Y50" s="139">
        <f>IF(ABS(W50+Y10-Y16)&gt;0.05,W50+Y10-Y16,0)</f>
        <v>29359702.260648772</v>
      </c>
      <c r="Z50" s="2"/>
      <c r="AA50" s="139">
        <f>IF(ABS(Y50+AA10-AA16)&gt;0.05,Y50+AA10-AA16,0)</f>
        <v>27901973.71093899</v>
      </c>
      <c r="AB50" s="2"/>
      <c r="AC50" s="139">
        <f>IF(ABS(AA50+AC10-AC16)&gt;0.05,AA50+AC10-AC16,0)</f>
        <v>26313049.591755327</v>
      </c>
      <c r="AD50" s="32"/>
      <c r="AE50" s="139">
        <f>IF(ABS(AC50+AE10-AE16)&gt;0.05,AC50+AE10-AE16,0)</f>
        <v>24581122.301845133</v>
      </c>
      <c r="AF50" s="2"/>
      <c r="AG50" s="139">
        <f>IF(ABS(AE50+AG10-AG16)&gt;0.05,AE50+AG10-AG16,0)</f>
        <v>22693321.55584302</v>
      </c>
      <c r="AH50" s="2"/>
      <c r="AI50" s="139">
        <f>IF(ABS(AG50+AI10-AI16)&gt;0.05,AG50+AI10-AI16,0)</f>
        <v>20635618.742700722</v>
      </c>
      <c r="AJ50" s="2"/>
      <c r="AK50" s="139">
        <f>IF(ABS(AI50+AK10-AK16)&gt;0.05,AI50+AK10-AK16,0)</f>
        <v>18392722.676375613</v>
      </c>
      <c r="AL50" s="2"/>
      <c r="AM50" s="139">
        <f>IF(ABS(AK50+AM10-AM16)&gt;0.05,AK50+AM10-AM16,0)</f>
        <v>15947965.964081243</v>
      </c>
      <c r="AN50" s="2"/>
      <c r="AO50" s="139">
        <f>IF(ABS(AM50+AO10-AO16)&gt;0.05,AM50+AO10-AO16,0)</f>
        <v>13283181.14768038</v>
      </c>
      <c r="AP50" s="2"/>
      <c r="AQ50" s="139">
        <f>IF(ABS(AO50+AQ10-AQ16)&gt;0.05,AO50+AQ10-AQ16,0)</f>
        <v>10378565.697803438</v>
      </c>
      <c r="AR50" s="2"/>
      <c r="AS50" s="139">
        <f>IF(ABS(AQ50+AS10-AS16)&gt;0.05,AQ50+AS10-AS16,0)</f>
        <v>7212534.857437572</v>
      </c>
      <c r="AT50" s="2"/>
      <c r="AU50" s="139">
        <f>IF(ABS(AS50+AU10-AU16)&gt;0.05,AS50+AU10-AU16,0)</f>
        <v>3761561.2414387795</v>
      </c>
      <c r="AV50" s="2"/>
      <c r="AW50" s="139">
        <f>IF(ABS(AU50+AW10-AW16)&gt;0.05,AU50+AW10-AW16,0)</f>
        <v>0</v>
      </c>
      <c r="AX50" s="32"/>
      <c r="AY50" s="139">
        <f>IF(ABS(AW50+AY10-AY16)&gt;0.05,AW50+AY10-AY16,0)</f>
        <v>0</v>
      </c>
      <c r="AZ50" s="2"/>
      <c r="BA50" s="139">
        <f>IF(ABS(AY50+BA10-BA16)&gt;0.05,AY50+BA10-BA16,0)</f>
        <v>0</v>
      </c>
      <c r="BB50" s="2"/>
      <c r="BC50" s="139">
        <f>IF(ABS(BA50+BC10-BC16)&gt;0.05,BA50+BC10-BC16,0)</f>
        <v>0</v>
      </c>
      <c r="BD50" s="2"/>
      <c r="BE50" s="139">
        <f>IF(ABS(BC50+BE10-BE16)&gt;0.05,BC50+BE10-BE16,0)</f>
        <v>0</v>
      </c>
      <c r="BF50" s="2"/>
      <c r="BG50" s="139">
        <f>IF(ABS(BE50+BG10-BG16)&gt;0.05,BE50+BG10-BG16,0)</f>
        <v>0</v>
      </c>
      <c r="BH50" s="2"/>
      <c r="BI50" s="139">
        <f>IF(ABS(BG50+BI10-BI16)&gt;0.05,BG50+BI10-BI16,0)</f>
        <v>0</v>
      </c>
      <c r="BJ50" s="2"/>
      <c r="BK50" s="139">
        <f>IF(ABS(BI50+BK10-BK16)&gt;0.05,BI50+BK10-BK16,0)</f>
        <v>0</v>
      </c>
      <c r="BL50" s="2"/>
      <c r="BM50" s="139">
        <f>IF(ABS(BK50+BM10-BM16)&gt;0.05,BK50+BM10-BM16,0)</f>
        <v>0</v>
      </c>
      <c r="BN50" s="2"/>
      <c r="BO50" s="139">
        <f>IF(ABS(BM50+BO10-BO16)&gt;0.05,BM50+BO10-BO16,0)</f>
        <v>0</v>
      </c>
      <c r="BP50" s="2"/>
      <c r="BQ50" s="139">
        <f>IF(ABS(BO50+BQ10-BQ16)&gt;0.05,BO50+BQ10-BQ16,0)</f>
        <v>0</v>
      </c>
      <c r="BR50" s="32"/>
      <c r="BS50" s="139">
        <f>IF(ABS(BQ50+BS10-BS16)&gt;0.05,BQ50+BS10-BS16,0)</f>
        <v>0</v>
      </c>
      <c r="BT50" s="2"/>
      <c r="BU50" s="139">
        <f>IF(ABS(BS50+BU10-BU16)&gt;0.05,BS50+BU10-BU16,0)</f>
        <v>0</v>
      </c>
      <c r="BV50" s="2"/>
      <c r="BW50" s="139">
        <f>IF(ABS(BU50+BW10-BW16)&gt;0.05,BU50+BW10-BW16,0)</f>
        <v>0</v>
      </c>
      <c r="BX50" s="2"/>
      <c r="BY50" s="139">
        <f>IF(ABS(BW50+BY10-BY16)&gt;0.05,BW50+BY10-BY16,0)</f>
        <v>0</v>
      </c>
      <c r="BZ50" s="2"/>
      <c r="CA50" s="139">
        <f>IF(ABS(BY50+CA10-CA16)&gt;0.05,BY50+CA10-CA16,0)</f>
        <v>0</v>
      </c>
      <c r="CB50" s="2"/>
      <c r="CC50" s="139">
        <f>IF(ABS(CA50+CC10-CC16)&gt;0.05,CA50+CC10-CC16,0)</f>
        <v>0</v>
      </c>
      <c r="CD50" s="2"/>
      <c r="CE50" s="139">
        <f>IF(ABS(CC50+CE10-CE16)&gt;0.05,CC50+CE10-CE16,0)</f>
        <v>0</v>
      </c>
      <c r="CF50" s="2"/>
      <c r="CG50" s="139">
        <f>IF(ABS(CE50+CG10-CG16)&gt;0.05,CE50+CG10-CG16,0)</f>
        <v>0</v>
      </c>
      <c r="CH50" s="2"/>
      <c r="CI50" s="139">
        <f>IF(ABS(CG50+CI10-CI16)&gt;0.05,CG50+CI10-CI16,0)</f>
        <v>0</v>
      </c>
      <c r="CJ50" s="2"/>
      <c r="CK50" s="139">
        <f>IF(ABS(CI50+CK10-CK16)&gt;0.05,CI50+CK10-CK16,0)</f>
        <v>0</v>
      </c>
      <c r="CL50" s="32"/>
      <c r="CM50" s="139">
        <f>IF(ABS(CK50+CM10-CM16)&gt;0.05,CK50+CM10-CM16,0)</f>
        <v>0</v>
      </c>
      <c r="CN50" s="2"/>
      <c r="CO50" s="139">
        <f>IF(ABS(CM50+CO10-CO16)&gt;0.05,CM50+CO10-CO16,0)</f>
        <v>0</v>
      </c>
      <c r="CP50" s="2"/>
      <c r="CQ50" s="139">
        <f>IF(ABS(CO50+CQ10-CQ16)&gt;0.05,CO50+CQ10-CQ16,0)</f>
        <v>0</v>
      </c>
      <c r="CR50" s="2"/>
      <c r="CS50" s="139">
        <f>IF(ABS(CQ50+CS10-CS16)&gt;0.05,CQ50+CS10-CS16,0)</f>
        <v>0</v>
      </c>
      <c r="CT50" s="2"/>
      <c r="CU50" s="139">
        <f>IF(ABS(CS50+CU10-CU16)&gt;0.05,CS50+CU10-CU16,0)</f>
        <v>0</v>
      </c>
      <c r="CV50" s="2"/>
      <c r="CW50" s="139">
        <f>IF(ABS(CU50+CW10-CW16)&gt;0.05,CU50+CW10-CW16,0)</f>
        <v>0</v>
      </c>
      <c r="CX50" s="2"/>
      <c r="CY50" s="139">
        <f>IF(ABS(CW50+CY10-CY16)&gt;0.05,CW50+CY10-CY16,0)</f>
        <v>0</v>
      </c>
      <c r="CZ50" s="2"/>
      <c r="DA50" s="139">
        <f>IF(ABS(CY50+DA10-DA16)&gt;0.05,CY50+DA10-DA16,0)</f>
        <v>0</v>
      </c>
      <c r="DB50" s="2"/>
      <c r="DC50" s="139">
        <f>IF(ABS(DA50+DC10-DC16)&gt;0.05,DA50+DC10-DC16,0)</f>
        <v>0</v>
      </c>
      <c r="DD50" s="2"/>
      <c r="DE50" s="139">
        <f>IF(ABS(DC50+DE10-DE16)&gt;0.05,DC50+DE10-DE16,0)</f>
        <v>0</v>
      </c>
      <c r="DF50" s="198"/>
      <c r="DG50" s="3"/>
      <c r="DH50" s="198"/>
    </row>
    <row r="51" spans="2:112" ht="12.75">
      <c r="B51" s="3"/>
      <c r="C51" s="2" t="s">
        <v>160</v>
      </c>
      <c r="D51" s="2"/>
      <c r="E51" s="2"/>
      <c r="F51" s="2"/>
      <c r="G51" s="150" t="str">
        <f>CONCATENATE("(",'Enter and Change Data Here'!$G$13,")")</f>
        <v>($US)</v>
      </c>
      <c r="H51" s="32"/>
      <c r="I51" s="139">
        <f>0</f>
        <v>0</v>
      </c>
      <c r="J51" s="2"/>
      <c r="K51" s="6">
        <f>K50-I50</f>
        <v>-731584.804015629</v>
      </c>
      <c r="L51" s="2"/>
      <c r="M51" s="6">
        <f>M50-K50</f>
        <v>-797427.4363770336</v>
      </c>
      <c r="N51" s="2"/>
      <c r="O51" s="6">
        <f>O50-M50</f>
        <v>-869195.9056509659</v>
      </c>
      <c r="P51" s="2"/>
      <c r="Q51" s="6">
        <f>Q50-O50</f>
        <v>-947423.5371595547</v>
      </c>
      <c r="R51" s="2"/>
      <c r="S51" s="6">
        <f>S50-Q50</f>
        <v>-1032691.6555039175</v>
      </c>
      <c r="T51" s="2"/>
      <c r="U51" s="6">
        <f>U50-S50</f>
        <v>-1125633.90449927</v>
      </c>
      <c r="V51" s="2"/>
      <c r="W51" s="6">
        <f>W50-U50</f>
        <v>-1226940.9559042044</v>
      </c>
      <c r="X51" s="2"/>
      <c r="Y51" s="6">
        <f>Y50-W50</f>
        <v>-1337365.6419355795</v>
      </c>
      <c r="Z51" s="2"/>
      <c r="AA51" s="6">
        <f>AA50-Y50</f>
        <v>-1457728.549709782</v>
      </c>
      <c r="AB51" s="2"/>
      <c r="AC51" s="6">
        <f>AC50-AA50</f>
        <v>-1588924.1191836633</v>
      </c>
      <c r="AD51" s="32"/>
      <c r="AE51" s="6">
        <f>AE50-AC50</f>
        <v>-1731927.2899101935</v>
      </c>
      <c r="AF51" s="2"/>
      <c r="AG51" s="6">
        <f>AG50-AE50</f>
        <v>-1887800.7460021116</v>
      </c>
      <c r="AH51" s="2"/>
      <c r="AI51" s="6">
        <f>AI50-AG50</f>
        <v>-2057702.8131422997</v>
      </c>
      <c r="AJ51" s="2"/>
      <c r="AK51" s="6">
        <f>AK50-AI50</f>
        <v>-2242896.0663251095</v>
      </c>
      <c r="AL51" s="2"/>
      <c r="AM51" s="6">
        <f>AM50-AK50</f>
        <v>-2444756.71229437</v>
      </c>
      <c r="AN51" s="2"/>
      <c r="AO51" s="6">
        <f>AO50-AM50</f>
        <v>-2664784.816400863</v>
      </c>
      <c r="AP51" s="2"/>
      <c r="AQ51" s="6">
        <f>AQ50-AO50</f>
        <v>-2904615.4498769417</v>
      </c>
      <c r="AR51" s="2"/>
      <c r="AS51" s="6">
        <f>AS50-AQ50</f>
        <v>-3166030.8403658653</v>
      </c>
      <c r="AT51" s="2"/>
      <c r="AU51" s="6">
        <f>AU50-AS50</f>
        <v>-3450973.615998793</v>
      </c>
      <c r="AV51" s="2"/>
      <c r="AW51" s="6">
        <f>AW50-AU50</f>
        <v>-3761561.2414387795</v>
      </c>
      <c r="AX51" s="32"/>
      <c r="AY51" s="6">
        <f>AY50-AW50</f>
        <v>0</v>
      </c>
      <c r="AZ51" s="2"/>
      <c r="BA51" s="6">
        <f>BA50-AY50</f>
        <v>0</v>
      </c>
      <c r="BB51" s="2"/>
      <c r="BC51" s="6">
        <f>BC50-BA50</f>
        <v>0</v>
      </c>
      <c r="BD51" s="2"/>
      <c r="BE51" s="6">
        <f>BE50-BC50</f>
        <v>0</v>
      </c>
      <c r="BF51" s="2"/>
      <c r="BG51" s="6">
        <f>BG50-BE50</f>
        <v>0</v>
      </c>
      <c r="BH51" s="2"/>
      <c r="BI51" s="6">
        <f>BI50-BG50</f>
        <v>0</v>
      </c>
      <c r="BJ51" s="2"/>
      <c r="BK51" s="6">
        <f>BK50-BI50</f>
        <v>0</v>
      </c>
      <c r="BL51" s="2"/>
      <c r="BM51" s="6">
        <f>BM50-BK50</f>
        <v>0</v>
      </c>
      <c r="BN51" s="2"/>
      <c r="BO51" s="6">
        <f>BO50-BM50</f>
        <v>0</v>
      </c>
      <c r="BP51" s="2"/>
      <c r="BQ51" s="6">
        <f>BQ50-BO50</f>
        <v>0</v>
      </c>
      <c r="BR51" s="32"/>
      <c r="BS51" s="6">
        <f>BS50-BQ50</f>
        <v>0</v>
      </c>
      <c r="BT51" s="2"/>
      <c r="BU51" s="6">
        <f>BU50-BS50</f>
        <v>0</v>
      </c>
      <c r="BV51" s="2"/>
      <c r="BW51" s="6">
        <f>BW50-BU50</f>
        <v>0</v>
      </c>
      <c r="BX51" s="2"/>
      <c r="BY51" s="6">
        <f>BY50-BW50</f>
        <v>0</v>
      </c>
      <c r="BZ51" s="2"/>
      <c r="CA51" s="6">
        <f>CA50-BY50</f>
        <v>0</v>
      </c>
      <c r="CB51" s="2"/>
      <c r="CC51" s="6">
        <f>CC50-CA50</f>
        <v>0</v>
      </c>
      <c r="CD51" s="2"/>
      <c r="CE51" s="6">
        <f>CE50-CC50</f>
        <v>0</v>
      </c>
      <c r="CF51" s="2"/>
      <c r="CG51" s="6">
        <f>CG50-CE50</f>
        <v>0</v>
      </c>
      <c r="CH51" s="2"/>
      <c r="CI51" s="6">
        <f>CI50-CG50</f>
        <v>0</v>
      </c>
      <c r="CJ51" s="2"/>
      <c r="CK51" s="6">
        <f>CK50-CI50</f>
        <v>0</v>
      </c>
      <c r="CL51" s="32"/>
      <c r="CM51" s="6">
        <f>CM50-CK50</f>
        <v>0</v>
      </c>
      <c r="CN51" s="2"/>
      <c r="CO51" s="6">
        <f>CO50-CM50</f>
        <v>0</v>
      </c>
      <c r="CP51" s="2"/>
      <c r="CQ51" s="6">
        <f>CQ50-CO50</f>
        <v>0</v>
      </c>
      <c r="CR51" s="2"/>
      <c r="CS51" s="6">
        <f>CS50-CQ50</f>
        <v>0</v>
      </c>
      <c r="CT51" s="2"/>
      <c r="CU51" s="6">
        <f>CU50-CS50</f>
        <v>0</v>
      </c>
      <c r="CV51" s="2"/>
      <c r="CW51" s="6">
        <f>CW50-CU50</f>
        <v>0</v>
      </c>
      <c r="CX51" s="2"/>
      <c r="CY51" s="6">
        <f>CY50-CW50</f>
        <v>0</v>
      </c>
      <c r="CZ51" s="2"/>
      <c r="DA51" s="6">
        <f>DA50-CY50</f>
        <v>0</v>
      </c>
      <c r="DB51" s="2"/>
      <c r="DC51" s="6">
        <f>DC50-DA50</f>
        <v>0</v>
      </c>
      <c r="DD51" s="2"/>
      <c r="DE51" s="6">
        <f>DE50-DC50</f>
        <v>0</v>
      </c>
      <c r="DF51" s="198"/>
      <c r="DG51" s="3"/>
      <c r="DH51" s="198"/>
    </row>
    <row r="52" spans="2:112" ht="13.5" thickBot="1">
      <c r="B52" s="4"/>
      <c r="C52" s="5"/>
      <c r="D52" s="5"/>
      <c r="E52" s="5"/>
      <c r="F52" s="5"/>
      <c r="G52" s="153"/>
      <c r="H52" s="155"/>
      <c r="I52" s="154"/>
      <c r="J52" s="5"/>
      <c r="K52" s="154"/>
      <c r="L52" s="5"/>
      <c r="M52" s="154"/>
      <c r="N52" s="5"/>
      <c r="O52" s="154"/>
      <c r="P52" s="5"/>
      <c r="Q52" s="154"/>
      <c r="R52" s="5"/>
      <c r="S52" s="154"/>
      <c r="T52" s="5"/>
      <c r="U52" s="154"/>
      <c r="V52" s="5"/>
      <c r="W52" s="154"/>
      <c r="X52" s="5"/>
      <c r="Y52" s="154"/>
      <c r="Z52" s="5"/>
      <c r="AA52" s="154"/>
      <c r="AB52" s="5"/>
      <c r="AC52" s="154"/>
      <c r="AD52" s="155"/>
      <c r="AE52" s="154"/>
      <c r="AF52" s="5"/>
      <c r="AG52" s="154"/>
      <c r="AH52" s="5"/>
      <c r="AI52" s="154"/>
      <c r="AJ52" s="5"/>
      <c r="AK52" s="154"/>
      <c r="AL52" s="5"/>
      <c r="AM52" s="154"/>
      <c r="AN52" s="194"/>
      <c r="AO52" s="154"/>
      <c r="AP52" s="5"/>
      <c r="AQ52" s="154"/>
      <c r="AR52" s="5"/>
      <c r="AS52" s="154"/>
      <c r="AT52" s="5"/>
      <c r="AU52" s="154"/>
      <c r="AV52" s="5"/>
      <c r="AW52" s="154"/>
      <c r="AX52" s="155"/>
      <c r="AY52" s="154"/>
      <c r="AZ52" s="5"/>
      <c r="BA52" s="154"/>
      <c r="BB52" s="5"/>
      <c r="BC52" s="154"/>
      <c r="BD52" s="5"/>
      <c r="BE52" s="154"/>
      <c r="BF52" s="5"/>
      <c r="BG52" s="154"/>
      <c r="BH52" s="5"/>
      <c r="BI52" s="154"/>
      <c r="BJ52" s="5"/>
      <c r="BK52" s="154"/>
      <c r="BL52" s="5"/>
      <c r="BM52" s="154"/>
      <c r="BN52" s="5"/>
      <c r="BO52" s="154"/>
      <c r="BP52" s="5"/>
      <c r="BQ52" s="154"/>
      <c r="BR52" s="155"/>
      <c r="BS52" s="154"/>
      <c r="BT52" s="5"/>
      <c r="BU52" s="154"/>
      <c r="BV52" s="5"/>
      <c r="BW52" s="154"/>
      <c r="BX52" s="5"/>
      <c r="BY52" s="154"/>
      <c r="BZ52" s="5"/>
      <c r="CA52" s="154"/>
      <c r="CB52" s="5"/>
      <c r="CC52" s="154"/>
      <c r="CD52" s="5"/>
      <c r="CE52" s="154"/>
      <c r="CF52" s="5"/>
      <c r="CG52" s="154"/>
      <c r="CH52" s="5"/>
      <c r="CI52" s="154"/>
      <c r="CJ52" s="5"/>
      <c r="CK52" s="154"/>
      <c r="CL52" s="155"/>
      <c r="CM52" s="154"/>
      <c r="CN52" s="5"/>
      <c r="CO52" s="154"/>
      <c r="CP52" s="5"/>
      <c r="CQ52" s="154"/>
      <c r="CR52" s="5"/>
      <c r="CS52" s="154"/>
      <c r="CT52" s="5"/>
      <c r="CU52" s="154"/>
      <c r="CV52" s="194"/>
      <c r="CW52" s="154"/>
      <c r="CX52" s="5"/>
      <c r="CY52" s="154"/>
      <c r="CZ52" s="5"/>
      <c r="DA52" s="154"/>
      <c r="DB52" s="5"/>
      <c r="DC52" s="154"/>
      <c r="DD52" s="5"/>
      <c r="DE52" s="154"/>
      <c r="DF52" s="202"/>
      <c r="DG52" s="4"/>
      <c r="DH52" s="202"/>
    </row>
    <row r="53" spans="2:112" ht="12.75">
      <c r="B53" s="196"/>
      <c r="C53" s="2"/>
      <c r="D53" s="2"/>
      <c r="E53" s="2"/>
      <c r="F53" s="2"/>
      <c r="G53" s="150"/>
      <c r="H53" s="31"/>
      <c r="I53" s="196"/>
      <c r="J53" s="2"/>
      <c r="K53" s="6"/>
      <c r="L53" s="2"/>
      <c r="M53" s="6"/>
      <c r="N53" s="2"/>
      <c r="O53" s="6"/>
      <c r="P53" s="2"/>
      <c r="Q53" s="6"/>
      <c r="R53" s="2"/>
      <c r="S53" s="6"/>
      <c r="T53" s="2"/>
      <c r="U53" s="6"/>
      <c r="V53" s="2"/>
      <c r="W53" s="6"/>
      <c r="X53" s="2"/>
      <c r="Y53" s="6"/>
      <c r="Z53" s="2"/>
      <c r="AA53" s="6"/>
      <c r="AB53" s="2"/>
      <c r="AC53" s="227" t="s">
        <v>231</v>
      </c>
      <c r="AD53" s="31"/>
      <c r="AE53" s="6"/>
      <c r="AF53" s="2"/>
      <c r="AG53" s="6"/>
      <c r="AH53" s="2"/>
      <c r="AI53" s="6"/>
      <c r="AJ53" s="2"/>
      <c r="AK53" s="6"/>
      <c r="AL53" s="2"/>
      <c r="AM53" s="6"/>
      <c r="AO53" s="6"/>
      <c r="AP53" s="2"/>
      <c r="AQ53" s="6"/>
      <c r="AR53" s="2"/>
      <c r="AS53" s="6"/>
      <c r="AT53" s="2"/>
      <c r="AU53" s="6"/>
      <c r="AV53" s="2"/>
      <c r="AW53" s="229" t="str">
        <f>AC53</f>
        <v>* assumes IPO occurs 12 months before construction is completed. First year operations begin immediately after construction. Cash Flow from first year of operations occurs 12 months after construction.</v>
      </c>
      <c r="AX53" s="31"/>
      <c r="AY53" s="6"/>
      <c r="AZ53" s="2"/>
      <c r="BA53" s="6"/>
      <c r="BB53" s="2"/>
      <c r="BC53" s="6"/>
      <c r="BD53" s="2"/>
      <c r="BE53" s="6"/>
      <c r="BF53" s="2"/>
      <c r="BG53" s="6"/>
      <c r="BH53" s="2"/>
      <c r="BI53" s="6"/>
      <c r="BJ53" s="2"/>
      <c r="BK53" s="6"/>
      <c r="BL53" s="2"/>
      <c r="BM53" s="6"/>
      <c r="BN53" s="2"/>
      <c r="BO53" s="6"/>
      <c r="BP53" s="2"/>
      <c r="BQ53" s="229" t="str">
        <f>AW53</f>
        <v>* assumes IPO occurs 12 months before construction is completed. First year operations begin immediately after construction. Cash Flow from first year of operations occurs 12 months after construction.</v>
      </c>
      <c r="BR53" s="31"/>
      <c r="BS53" s="6"/>
      <c r="BT53" s="2"/>
      <c r="BU53" s="6"/>
      <c r="BV53" s="2"/>
      <c r="BW53" s="6"/>
      <c r="BX53" s="2"/>
      <c r="BY53" s="6"/>
      <c r="BZ53" s="2"/>
      <c r="CA53" s="6"/>
      <c r="CB53" s="2"/>
      <c r="CC53" s="6"/>
      <c r="CD53" s="2"/>
      <c r="CE53" s="6"/>
      <c r="CF53" s="2"/>
      <c r="CG53" s="6"/>
      <c r="CH53" s="2"/>
      <c r="CI53" s="6"/>
      <c r="CJ53" s="2"/>
      <c r="CK53" s="229" t="str">
        <f>BQ53</f>
        <v>* assumes IPO occurs 12 months before construction is completed. First year operations begin immediately after construction. Cash Flow from first year of operations occurs 12 months after construction.</v>
      </c>
      <c r="CL53" s="31"/>
      <c r="CM53" s="6"/>
      <c r="CN53" s="2"/>
      <c r="CO53" s="6"/>
      <c r="CP53" s="2"/>
      <c r="CQ53" s="6"/>
      <c r="CR53" s="2"/>
      <c r="CS53" s="6"/>
      <c r="CT53" s="2"/>
      <c r="CU53" s="6"/>
      <c r="CW53" s="6"/>
      <c r="CX53" s="2"/>
      <c r="CY53" s="6"/>
      <c r="CZ53" s="2"/>
      <c r="DA53" s="6"/>
      <c r="DB53" s="2"/>
      <c r="DC53" s="6"/>
      <c r="DD53" s="2"/>
      <c r="DE53" s="229" t="str">
        <f>CK53</f>
        <v>* assumes IPO occurs 12 months before construction is completed. First year operations begin immediately after construction. Cash Flow from first year of operations occurs 12 months after construction.</v>
      </c>
      <c r="DF53" s="2"/>
      <c r="DG53" s="2"/>
      <c r="DH53" s="2"/>
    </row>
    <row r="54" spans="9:112" ht="12.75">
      <c r="I54" s="211" t="s">
        <v>226</v>
      </c>
      <c r="AD54" s="35"/>
      <c r="AG54" s="2"/>
      <c r="AR54" s="2"/>
      <c r="AX54" s="35"/>
      <c r="BY54" s="2"/>
      <c r="CL54" s="35"/>
      <c r="DH54" s="2"/>
    </row>
    <row r="55" spans="3:113" ht="13.5" thickBot="1">
      <c r="C55" s="14" t="s">
        <v>241</v>
      </c>
      <c r="I55" s="211" t="s">
        <v>130</v>
      </c>
      <c r="AD55" s="35"/>
      <c r="AG55" s="2"/>
      <c r="AR55" s="2"/>
      <c r="AX55" s="35"/>
      <c r="BY55" s="2"/>
      <c r="CL55" s="35"/>
      <c r="DH55" s="2"/>
      <c r="DI55" s="14"/>
    </row>
    <row r="56" spans="2:112" ht="12.75">
      <c r="B56" s="30"/>
      <c r="C56" s="18" t="s">
        <v>179</v>
      </c>
      <c r="D56" s="18"/>
      <c r="E56" s="18"/>
      <c r="F56" s="18"/>
      <c r="G56" s="210" t="s">
        <v>227</v>
      </c>
      <c r="H56" s="37"/>
      <c r="I56" s="206">
        <f>IF('Enter and Change Data Here'!$G$30=100,MIN('Cash Flow'!K56:DE56),IF('Enter and Change Data Here'!$G$31=100,MIN('Cash Flow'!M56:DE56),IF('Enter and Change Data Here'!$G$32=100,MIN('Cash Flow'!O56:DE56,MIN('Cash Flow'!Q56:DE56)))))</f>
        <v>3.15326590946284</v>
      </c>
      <c r="J56" s="18"/>
      <c r="K56" s="173">
        <f>IF('Enter and Change Data Here'!$G$120=0,"N/A",IF(K2&lt;='Enter and Change Data Here'!$G$121,IF(K50&lt;=0,"N/A",-('Cash Flow'!K40-'Cash Flow'!K39-'Cash Flow'!K38-'Cash Flow'!K16)/'Cash Flow'!K16),"N/A"))</f>
        <v>2.086487419651055</v>
      </c>
      <c r="L56" s="173"/>
      <c r="M56" s="173">
        <f>IF('Enter and Change Data Here'!$G$120=0,"N/A",IF(M2&lt;='Enter and Change Data Here'!$G$121,IF(M50&lt;=0,"N/A",-('Cash Flow'!M40-'Cash Flow'!M39-'Cash Flow'!M38-'Cash Flow'!M16)/'Cash Flow'!M16),"N/A"))</f>
        <v>2.7292657699844316</v>
      </c>
      <c r="N56" s="173"/>
      <c r="O56" s="173">
        <f>IF('Enter and Change Data Here'!$G$120=0,"N/A",IF(O2&lt;='Enter and Change Data Here'!$G$121,IF(O50&lt;=0,"N/A",-('Cash Flow'!O40-'Cash Flow'!O39-'Cash Flow'!O38-'Cash Flow'!O16)/'Cash Flow'!O16),"N/A"))</f>
        <v>3.15326590946284</v>
      </c>
      <c r="P56" s="173"/>
      <c r="Q56" s="173">
        <f>IF('Enter and Change Data Here'!$G$120=0,"N/A",IF(Q2&lt;='Enter and Change Data Here'!$G$121,IF(Q50&lt;=0,"N/A",-('Cash Flow'!Q40-'Cash Flow'!Q39-'Cash Flow'!Q38-'Cash Flow'!Q16)/'Cash Flow'!Q16),"N/A"))</f>
        <v>3.333086090945191</v>
      </c>
      <c r="R56" s="173"/>
      <c r="S56" s="173">
        <f>IF('Enter and Change Data Here'!$G$120=0,"N/A",IF(S2&lt;='Enter and Change Data Here'!$G$121,IF(S50&lt;=0,"N/A",-('Cash Flow'!S40-'Cash Flow'!S39-'Cash Flow'!S38-'Cash Flow'!S16)/'Cash Flow'!S16),"N/A"))</f>
        <v>3.5323613341510045</v>
      </c>
      <c r="T56" s="173"/>
      <c r="U56" s="173">
        <f>IF('Enter and Change Data Here'!$G$120=0,"N/A",IF(U2&lt;='Enter and Change Data Here'!$G$121,IF(U50&lt;=0,"N/A",-('Cash Flow'!U40-'Cash Flow'!U39-'Cash Flow'!U38-'Cash Flow'!U16)/'Cash Flow'!U16),"N/A"))</f>
        <v>3.755021456049221</v>
      </c>
      <c r="V56" s="173"/>
      <c r="W56" s="173">
        <f>IF('Enter and Change Data Here'!$G$120=0,"N/A",IF(W2&lt;='Enter and Change Data Here'!$G$121,IF(W50&lt;=0,"N/A",-('Cash Flow'!W40-'Cash Flow'!W39-'Cash Flow'!W38-'Cash Flow'!W16)/'Cash Flow'!W16),"N/A"))</f>
        <v>4.0061266218649045</v>
      </c>
      <c r="X56" s="173"/>
      <c r="Y56" s="173">
        <f>IF('Enter and Change Data Here'!$G$120=0,"N/A",IF(Y2&lt;='Enter and Change Data Here'!$G$121,IF(Y50&lt;=0,"N/A",-('Cash Flow'!Y40-'Cash Flow'!Y39-'Cash Flow'!Y38-'Cash Flow'!Y16)/'Cash Flow'!Y16),"N/A"))</f>
        <v>4.29230204778499</v>
      </c>
      <c r="Z56" s="173"/>
      <c r="AA56" s="173">
        <f>IF('Enter and Change Data Here'!$G$120=0,"N/A",IF(AA2&lt;='Enter and Change Data Here'!$G$121,IF(AA50&lt;=0,"N/A",-('Cash Flow'!AA40-'Cash Flow'!AA39-'Cash Flow'!AA38-'Cash Flow'!AA16)/'Cash Flow'!AA16),"N/A"))</f>
        <v>4.620461640217051</v>
      </c>
      <c r="AB56" s="173"/>
      <c r="AC56" s="173">
        <f>IF('Enter and Change Data Here'!$G$120=0,"N/A",IF(AC2&lt;='Enter and Change Data Here'!$G$121,IF(AC50&lt;=0,"N/A",-('Cash Flow'!AC40-'Cash Flow'!AC39-'Cash Flow'!AC38-'Cash Flow'!AC16)/'Cash Flow'!AC16),"N/A"))</f>
        <v>4.961643443088744</v>
      </c>
      <c r="AD56" s="203"/>
      <c r="AE56" s="173">
        <f>IF('Enter and Change Data Here'!$G$120=0,"N/A",IF(AE2&lt;='Enter and Change Data Here'!$G$121,IF(AE50&lt;=0,"N/A",-('Cash Flow'!AE40-'Cash Flow'!AE39-'Cash Flow'!AE38-'Cash Flow'!AE16)/'Cash Flow'!AE16),"N/A"))</f>
        <v>5.3680384016783025</v>
      </c>
      <c r="AF56" s="173"/>
      <c r="AG56" s="173">
        <f>IF('Enter and Change Data Here'!$G$120=0,"N/A",IF(AG2&lt;='Enter and Change Data Here'!$G$121,IF(AG50&lt;=0,"N/A",-('Cash Flow'!AG40-'Cash Flow'!AG39-'Cash Flow'!AG38-'Cash Flow'!AG16)/'Cash Flow'!AG16),"N/A"))</f>
        <v>5.8615691945536925</v>
      </c>
      <c r="AH56" s="173"/>
      <c r="AI56" s="173">
        <f>IF('Enter and Change Data Here'!$G$120=0,"N/A",IF(AI2&lt;='Enter and Change Data Here'!$G$121,IF(AI50&lt;=0,"N/A",-('Cash Flow'!AI40-'Cash Flow'!AI39-'Cash Flow'!AI38-'Cash Flow'!AI16)/'Cash Flow'!AI16),"N/A"))</f>
        <v>6.475126369723477</v>
      </c>
      <c r="AJ56" s="173"/>
      <c r="AK56" s="173">
        <f>IF('Enter and Change Data Here'!$G$120=0,"N/A",IF(AK2&lt;='Enter and Change Data Here'!$G$121,IF(AK50&lt;=0,"N/A",-('Cash Flow'!AK40-'Cash Flow'!AK39-'Cash Flow'!AK38-'Cash Flow'!AK16)/'Cash Flow'!AK16),"N/A"))</f>
        <v>7.260401724255822</v>
      </c>
      <c r="AL56" s="173"/>
      <c r="AM56" s="173">
        <f>IF('Enter and Change Data Here'!$G$120=0,"N/A",IF(AM2&lt;='Enter and Change Data Here'!$G$121,IF(AM50&lt;=0,"N/A",-('Cash Flow'!AM40-'Cash Flow'!AM39-'Cash Flow'!AM38-'Cash Flow'!AM16)/'Cash Flow'!AM16),"N/A"))</f>
        <v>8.303555009456286</v>
      </c>
      <c r="AN56" s="173"/>
      <c r="AO56" s="173">
        <f>IF('Enter and Change Data Here'!$G$120=0,"N/A",IF(AO2&lt;='Enter and Change Data Here'!$G$121,IF(AO50&lt;=0,"N/A",-('Cash Flow'!AO40-'Cash Flow'!AO39-'Cash Flow'!AO38-'Cash Flow'!AO16)/'Cash Flow'!AO16),"N/A"))</f>
        <v>9.759680625356694</v>
      </c>
      <c r="AP56" s="173"/>
      <c r="AQ56" s="173">
        <f>IF('Enter and Change Data Here'!$G$120=0,"N/A",IF(AQ2&lt;='Enter and Change Data Here'!$G$121,IF(AQ50&lt;=0,"N/A",-('Cash Flow'!AQ40-'Cash Flow'!AQ39-'Cash Flow'!AQ38-'Cash Flow'!AQ16)/'Cash Flow'!AQ16),"N/A"))</f>
        <v>11.938974296727698</v>
      </c>
      <c r="AR56" s="173"/>
      <c r="AS56" s="173">
        <f>IF('Enter and Change Data Here'!$G$120=0,"N/A",IF(AS2&lt;='Enter and Change Data Here'!$G$121,IF(AS50&lt;=0,"N/A",-('Cash Flow'!AS40-'Cash Flow'!AS39-'Cash Flow'!AS38-'Cash Flow'!AS16)/'Cash Flow'!AS16),"N/A"))</f>
        <v>15.565233036503978</v>
      </c>
      <c r="AT56" s="173"/>
      <c r="AU56" s="173">
        <f>IF('Enter and Change Data Here'!$G$120=0,"N/A",IF(AU2&lt;='Enter and Change Data Here'!$G$121,IF(AU50&lt;=0,"N/A",-('Cash Flow'!AU40-'Cash Flow'!AU39-'Cash Flow'!AU38-'Cash Flow'!AU16)/'Cash Flow'!AU16),"N/A"))</f>
        <v>22.809854927451433</v>
      </c>
      <c r="AV56" s="173"/>
      <c r="AW56" s="173" t="str">
        <f>IF('Enter and Change Data Here'!$G$120=0,"N/A",IF(AW2&lt;='Enter and Change Data Here'!$G$121,IF(AW50&lt;=0,"N/A",-('Cash Flow'!AW40-'Cash Flow'!AW39-'Cash Flow'!AW38-'Cash Flow'!AW16)/'Cash Flow'!AW16),"N/A"))</f>
        <v>N/A</v>
      </c>
      <c r="AX56" s="203"/>
      <c r="AY56" s="173" t="str">
        <f>IF('Enter and Change Data Here'!$G$120=0,"N/A",IF(AY2&lt;='Enter and Change Data Here'!$G$121,IF(AY50&lt;=0,"N/A",-('Cash Flow'!AY40-'Cash Flow'!AY39-'Cash Flow'!AY38-'Cash Flow'!AY16)/'Cash Flow'!AY16),"N/A"))</f>
        <v>N/A</v>
      </c>
      <c r="AZ56" s="173"/>
      <c r="BA56" s="173" t="str">
        <f>IF('Enter and Change Data Here'!$G$120=0,"N/A",IF(BA2&lt;='Enter and Change Data Here'!$G$121,IF(BA50&lt;=0,"N/A",-('Cash Flow'!BA40-'Cash Flow'!BA39-'Cash Flow'!BA38-'Cash Flow'!BA16)/'Cash Flow'!BA16),"N/A"))</f>
        <v>N/A</v>
      </c>
      <c r="BB56" s="173"/>
      <c r="BC56" s="173" t="str">
        <f>IF('Enter and Change Data Here'!$G$120=0,"N/A",IF(BC2&lt;='Enter and Change Data Here'!$G$121,IF(BC50&lt;=0,"N/A",-('Cash Flow'!BC40-'Cash Flow'!BC39-'Cash Flow'!BC38-'Cash Flow'!BC16)/'Cash Flow'!BC16),"N/A"))</f>
        <v>N/A</v>
      </c>
      <c r="BD56" s="173"/>
      <c r="BE56" s="173" t="str">
        <f>IF('Enter and Change Data Here'!$G$120=0,"N/A",IF(BE2&lt;='Enter and Change Data Here'!$G$121,IF(BE50&lt;=0,"N/A",-('Cash Flow'!BE40-'Cash Flow'!BE39-'Cash Flow'!BE38-'Cash Flow'!BE16)/'Cash Flow'!BE16),"N/A"))</f>
        <v>N/A</v>
      </c>
      <c r="BF56" s="173"/>
      <c r="BG56" s="173" t="str">
        <f>IF('Enter and Change Data Here'!$G$120=0,"N/A",IF(BG2&lt;='Enter and Change Data Here'!$G$121,IF(BG50&lt;=0,"N/A",-('Cash Flow'!BG40-'Cash Flow'!BG39-'Cash Flow'!BG38-'Cash Flow'!BG16)/'Cash Flow'!BG16),"N/A"))</f>
        <v>N/A</v>
      </c>
      <c r="BH56" s="173"/>
      <c r="BI56" s="173" t="str">
        <f>IF('Enter and Change Data Here'!$G$120=0,"N/A",IF(BI2&lt;='Enter and Change Data Here'!$G$121,IF(BI50&lt;=0,"N/A",-('Cash Flow'!BI40-'Cash Flow'!BI39-'Cash Flow'!BI38-'Cash Flow'!BI16)/'Cash Flow'!BI16),"N/A"))</f>
        <v>N/A</v>
      </c>
      <c r="BJ56" s="173"/>
      <c r="BK56" s="173" t="str">
        <f>IF('Enter and Change Data Here'!$G$120=0,"N/A",IF(BK2&lt;='Enter and Change Data Here'!$G$121,IF(BK50&lt;=0,"N/A",-('Cash Flow'!BK40-'Cash Flow'!BK39-'Cash Flow'!BK38-'Cash Flow'!BK16)/'Cash Flow'!BK16),"N/A"))</f>
        <v>N/A</v>
      </c>
      <c r="BL56" s="173"/>
      <c r="BM56" s="173" t="str">
        <f>IF('Enter and Change Data Here'!$G$120=0,"N/A",IF(BM2&lt;='Enter and Change Data Here'!$G$121,IF(BM50&lt;=0,"N/A",-('Cash Flow'!BM40-'Cash Flow'!BM39-'Cash Flow'!BM38-'Cash Flow'!BM16)/'Cash Flow'!BM16),"N/A"))</f>
        <v>N/A</v>
      </c>
      <c r="BN56" s="173"/>
      <c r="BO56" s="173" t="str">
        <f>IF('Enter and Change Data Here'!$G$120=0,"N/A",IF(BO2&lt;='Enter and Change Data Here'!$G$121,IF(BO50&lt;=0,"N/A",-('Cash Flow'!BO40-'Cash Flow'!BO39-'Cash Flow'!BO38-'Cash Flow'!BO16)/'Cash Flow'!BO16),"N/A"))</f>
        <v>N/A</v>
      </c>
      <c r="BP56" s="173"/>
      <c r="BQ56" s="173" t="str">
        <f>IF('Enter and Change Data Here'!$G$120=0,"N/A",IF(BQ2&lt;='Enter and Change Data Here'!$G$121,IF(BQ50&lt;=0,"N/A",-('Cash Flow'!BQ40-'Cash Flow'!BQ39-'Cash Flow'!BQ38-'Cash Flow'!BQ16)/'Cash Flow'!BQ16),"N/A"))</f>
        <v>N/A</v>
      </c>
      <c r="BR56" s="203"/>
      <c r="BS56" s="173" t="str">
        <f>IF('Enter and Change Data Here'!$G$120=0,"N/A",IF(BS2&lt;='Enter and Change Data Here'!$G$121,IF(BS50&lt;=0,"N/A",-('Cash Flow'!BS40-'Cash Flow'!BS39-'Cash Flow'!BS38-'Cash Flow'!BS16)/'Cash Flow'!BS16),"N/A"))</f>
        <v>N/A</v>
      </c>
      <c r="BT56" s="173"/>
      <c r="BU56" s="173" t="str">
        <f>IF('Enter and Change Data Here'!$G$120=0,"N/A",IF(BU2&lt;='Enter and Change Data Here'!$G$121,IF(BU50&lt;=0,"N/A",-('Cash Flow'!BU40-'Cash Flow'!BU39-'Cash Flow'!BU38-'Cash Flow'!BU16)/'Cash Flow'!BU16),"N/A"))</f>
        <v>N/A</v>
      </c>
      <c r="BV56" s="173"/>
      <c r="BW56" s="173" t="str">
        <f>IF('Enter and Change Data Here'!$G$120=0,"N/A",IF(BW2&lt;='Enter and Change Data Here'!$G$121,IF(BW50&lt;=0,"N/A",-('Cash Flow'!BW40-'Cash Flow'!BW39-'Cash Flow'!BW38-'Cash Flow'!BW16)/'Cash Flow'!BW16),"N/A"))</f>
        <v>N/A</v>
      </c>
      <c r="BX56" s="173"/>
      <c r="BY56" s="173" t="str">
        <f>IF('Enter and Change Data Here'!$G$120=0,"N/A",IF(BY2&lt;='Enter and Change Data Here'!$G$121,IF(BY50&lt;=0,"N/A",-('Cash Flow'!BY40-'Cash Flow'!BY39-'Cash Flow'!BY38-'Cash Flow'!BY16)/'Cash Flow'!BY16),"N/A"))</f>
        <v>N/A</v>
      </c>
      <c r="BZ56" s="173"/>
      <c r="CA56" s="173" t="str">
        <f>IF('Enter and Change Data Here'!$G$120=0,"N/A",IF(CA2&lt;='Enter and Change Data Here'!$G$121,IF(CA50&lt;=0,"N/A",-('Cash Flow'!CA40-'Cash Flow'!CA39-'Cash Flow'!CA38-'Cash Flow'!CA16)/'Cash Flow'!CA16),"N/A"))</f>
        <v>N/A</v>
      </c>
      <c r="CB56" s="173"/>
      <c r="CC56" s="173" t="str">
        <f>IF('Enter and Change Data Here'!$G$120=0,"N/A",IF(CC2&lt;='Enter and Change Data Here'!$G$121,IF(CC50&lt;=0,"N/A",-('Cash Flow'!CC40-'Cash Flow'!CC39-'Cash Flow'!CC38-'Cash Flow'!CC16)/'Cash Flow'!CC16),"N/A"))</f>
        <v>N/A</v>
      </c>
      <c r="CD56" s="173"/>
      <c r="CE56" s="173" t="str">
        <f>IF('Enter and Change Data Here'!$G$120=0,"N/A",IF(CE2&lt;='Enter and Change Data Here'!$G$121,IF(CE50&lt;=0,"N/A",-('Cash Flow'!CE40-'Cash Flow'!CE39-'Cash Flow'!CE38-'Cash Flow'!CE16)/'Cash Flow'!CE16),"N/A"))</f>
        <v>N/A</v>
      </c>
      <c r="CF56" s="173"/>
      <c r="CG56" s="173" t="str">
        <f>IF('Enter and Change Data Here'!$G$120=0,"N/A",IF(CG2&lt;='Enter and Change Data Here'!$G$121,IF(CG50&lt;=0,"N/A",-('Cash Flow'!CG40-'Cash Flow'!CG39-'Cash Flow'!CG38-'Cash Flow'!CG16)/'Cash Flow'!CG16),"N/A"))</f>
        <v>N/A</v>
      </c>
      <c r="CH56" s="173"/>
      <c r="CI56" s="173" t="str">
        <f>IF('Enter and Change Data Here'!$G$120=0,"N/A",IF(CI2&lt;='Enter and Change Data Here'!$G$121,IF(CI50&lt;=0,"N/A",-('Cash Flow'!CI40-'Cash Flow'!CI39-'Cash Flow'!CI38-'Cash Flow'!CI16)/'Cash Flow'!CI16),"N/A"))</f>
        <v>N/A</v>
      </c>
      <c r="CJ56" s="173"/>
      <c r="CK56" s="173" t="str">
        <f>IF('Enter and Change Data Here'!$G$120=0,"N/A",IF(CK2&lt;='Enter and Change Data Here'!$G$121,IF(CK50&lt;=0,"N/A",-('Cash Flow'!CK40-'Cash Flow'!CK39-'Cash Flow'!CK38-'Cash Flow'!CK16)/'Cash Flow'!CK16),"N/A"))</f>
        <v>N/A</v>
      </c>
      <c r="CL56" s="203"/>
      <c r="CM56" s="173" t="str">
        <f>IF('Enter and Change Data Here'!$G$120=0,"N/A",IF(CM2&lt;='Enter and Change Data Here'!$G$121,IF(CM50&lt;=0,"N/A",-('Cash Flow'!CM40-'Cash Flow'!CM39-'Cash Flow'!CM38-'Cash Flow'!CM16)/'Cash Flow'!CM16),"N/A"))</f>
        <v>N/A</v>
      </c>
      <c r="CN56" s="173"/>
      <c r="CO56" s="173" t="str">
        <f>IF('Enter and Change Data Here'!$G$120=0,"N/A",IF(CO2&lt;='Enter and Change Data Here'!$G$121,IF(CO50&lt;=0,"N/A",-('Cash Flow'!CO40-'Cash Flow'!CO39-'Cash Flow'!CO38-'Cash Flow'!CO16)/'Cash Flow'!CO16),"N/A"))</f>
        <v>N/A</v>
      </c>
      <c r="CP56" s="173"/>
      <c r="CQ56" s="173" t="str">
        <f>IF('Enter and Change Data Here'!$G$120=0,"N/A",IF(CQ2&lt;='Enter and Change Data Here'!$G$121,IF(CQ50&lt;=0,"N/A",-('Cash Flow'!CQ40-'Cash Flow'!CQ39-'Cash Flow'!CQ38-'Cash Flow'!CQ16)/'Cash Flow'!CQ16),"N/A"))</f>
        <v>N/A</v>
      </c>
      <c r="CR56" s="173"/>
      <c r="CS56" s="173" t="str">
        <f>IF('Enter and Change Data Here'!$G$120=0,"N/A",IF(CS2&lt;='Enter and Change Data Here'!$G$121,IF(CS50&lt;=0,"N/A",-('Cash Flow'!CS40-'Cash Flow'!CS39-'Cash Flow'!CS38-'Cash Flow'!CS16)/'Cash Flow'!CS16),"N/A"))</f>
        <v>N/A</v>
      </c>
      <c r="CT56" s="173"/>
      <c r="CU56" s="173" t="str">
        <f>IF('Enter and Change Data Here'!$G$120=0,"N/A",IF(CU2&lt;='Enter and Change Data Here'!$G$121,IF(CU50&lt;=0,"N/A",-('Cash Flow'!CU40-'Cash Flow'!CU39-'Cash Flow'!CU38-'Cash Flow'!CU16)/'Cash Flow'!CU16),"N/A"))</f>
        <v>N/A</v>
      </c>
      <c r="CV56" s="173"/>
      <c r="CW56" s="173" t="str">
        <f>IF('Enter and Change Data Here'!$G$120=0,"N/A",IF(CW2&lt;='Enter and Change Data Here'!$G$121,IF(CW50&lt;=0,"N/A",-('Cash Flow'!CW40-'Cash Flow'!CW39-'Cash Flow'!CW38-'Cash Flow'!CW16)/'Cash Flow'!CW16),"N/A"))</f>
        <v>N/A</v>
      </c>
      <c r="CX56" s="173"/>
      <c r="CY56" s="173" t="str">
        <f>IF('Enter and Change Data Here'!$G$120=0,"N/A",IF(CY2&lt;='Enter and Change Data Here'!$G$121,IF(CY50&lt;=0,"N/A",-('Cash Flow'!CY40-'Cash Flow'!CY39-'Cash Flow'!CY38-'Cash Flow'!CY16)/'Cash Flow'!CY16),"N/A"))</f>
        <v>N/A</v>
      </c>
      <c r="CZ56" s="173"/>
      <c r="DA56" s="173" t="str">
        <f>IF('Enter and Change Data Here'!$G$120=0,"N/A",IF(DA2&lt;='Enter and Change Data Here'!$G$121,IF(DA50&lt;=0,"N/A",-('Cash Flow'!DA40-'Cash Flow'!DA39-'Cash Flow'!DA38-'Cash Flow'!DA16)/'Cash Flow'!DA16),"N/A"))</f>
        <v>N/A</v>
      </c>
      <c r="DB56" s="173"/>
      <c r="DC56" s="173" t="str">
        <f>IF('Enter and Change Data Here'!$G$120=0,"N/A",IF(DC2&lt;='Enter and Change Data Here'!$G$121,IF(DC50&lt;=0,"N/A",-('Cash Flow'!DC40-'Cash Flow'!DC39-'Cash Flow'!DC38-'Cash Flow'!DC16)/'Cash Flow'!DC16),"N/A"))</f>
        <v>N/A</v>
      </c>
      <c r="DD56" s="173"/>
      <c r="DE56" s="173" t="str">
        <f>IF('Enter and Change Data Here'!$G$120=0,"N/A",IF(DE2&lt;='Enter and Change Data Here'!$G$121,IF(DE50&lt;=0,"N/A",-('Cash Flow'!DE40-'Cash Flow'!DE39-'Cash Flow'!DE38-'Cash Flow'!DE16)/'Cash Flow'!DE16),"N/A"))</f>
        <v>N/A</v>
      </c>
      <c r="DF56" s="173"/>
      <c r="DG56" s="209">
        <f>MIN(J56:DE56)</f>
        <v>2.086487419651055</v>
      </c>
      <c r="DH56" s="203"/>
    </row>
    <row r="57" spans="2:112" ht="12.75">
      <c r="B57" s="3"/>
      <c r="C57" s="2" t="s">
        <v>180</v>
      </c>
      <c r="D57" s="2"/>
      <c r="E57" s="2"/>
      <c r="F57" s="2"/>
      <c r="G57" s="31" t="s">
        <v>227</v>
      </c>
      <c r="H57" s="32"/>
      <c r="I57" s="207">
        <f>IF('Enter and Change Data Here'!$G$30=100,MIN('Cash Flow'!K57:DE57),IF('Enter and Change Data Here'!$G$31=100,MIN('Cash Flow'!M57:DE57),IF('Enter and Change Data Here'!$G$32=100,MIN('Cash Flow'!O57:DE57,MIN('Cash Flow'!Q57:DE57)))))</f>
        <v>0.3020239370263047</v>
      </c>
      <c r="J57" s="2"/>
      <c r="K57" s="157">
        <f>IF(K2&lt;'Enter and Change Data Here'!$G$121,IF(K50&lt;=0,"N/A ",('Cash Flow'!K40-'Cash Flow'!K39-'Cash Flow'!K26)/'Cash Flow'!K50),"N/A ")</f>
        <v>0.2217751931676743</v>
      </c>
      <c r="L57" s="156"/>
      <c r="M57" s="157">
        <f>IF(M2&lt;'Enter and Change Data Here'!$G$121,IF(M50&lt;=0,"N/A ",('Cash Flow'!M40-'Cash Flow'!M39-'Cash Flow'!M26)/'Cash Flow'!M50),"N/A ")</f>
        <v>0.2838438537098879</v>
      </c>
      <c r="N57" s="156"/>
      <c r="O57" s="157">
        <f>IF(O2&lt;'Enter and Change Data Here'!$G$121,IF(O50&lt;=0,"N/A ",('Cash Flow'!O40-'Cash Flow'!O39-'Cash Flow'!O26)/'Cash Flow'!O50),"N/A ")</f>
        <v>0.32645087629016667</v>
      </c>
      <c r="P57" s="156"/>
      <c r="Q57" s="157">
        <f>IF(Q2&lt;'Enter and Change Data Here'!$G$121,IF(Q50&lt;=0,"N/A ",('Cash Flow'!Q40-'Cash Flow'!Q39-'Cash Flow'!Q26)/'Cash Flow'!Q50),"N/A ")</f>
        <v>0.3472169867357096</v>
      </c>
      <c r="R57" s="156"/>
      <c r="S57" s="157">
        <f>IF(S2&lt;'Enter and Change Data Here'!$G$121,IF(S50&lt;=0,"N/A ",('Cash Flow'!S40-'Cash Flow'!S39-'Cash Flow'!S26)/'Cash Flow'!S50),"N/A ")</f>
        <v>0.3705421743237647</v>
      </c>
      <c r="T57" s="156"/>
      <c r="U57" s="157">
        <f>IF(U2&lt;'Enter and Change Data Here'!$G$121,IF(U50&lt;=0,"N/A ",('Cash Flow'!U40-'Cash Flow'!U39-'Cash Flow'!U26)/'Cash Flow'!U50),"N/A ")</f>
        <v>0.3969807978158567</v>
      </c>
      <c r="V57" s="156"/>
      <c r="W57" s="157">
        <f>IF(W2&lt;'Enter and Change Data Here'!$G$121,IF(W50&lt;=0,"N/A ",('Cash Flow'!W40-'Cash Flow'!W39-'Cash Flow'!W26)/'Cash Flow'!W50),"N/A ")</f>
        <v>0.42725842630596955</v>
      </c>
      <c r="X57" s="156"/>
      <c r="Y57" s="157">
        <f>IF(Y2&lt;'Enter and Change Data Here'!$G$121,IF(Y50&lt;=0,"N/A ",('Cash Flow'!Y40-'Cash Flow'!Y39-'Cash Flow'!Y26)/'Cash Flow'!Y50),"N/A ")</f>
        <v>0.45366550681573325</v>
      </c>
      <c r="Z57" s="156"/>
      <c r="AA57" s="157">
        <f>IF(AA2&lt;'Enter and Change Data Here'!$G$121,IF(AA50&lt;=0,"N/A ",('Cash Flow'!AA40-'Cash Flow'!AA39-'Cash Flow'!AA26)/'Cash Flow'!AA50),"N/A ")</f>
        <v>0.3020239370263047</v>
      </c>
      <c r="AB57" s="156"/>
      <c r="AC57" s="157">
        <f>IF(AC2&lt;'Enter and Change Data Here'!$G$121,IF(AC50&lt;=0,"N/A ",('Cash Flow'!AC40-'Cash Flow'!AC39-'Cash Flow'!AC26)/'Cash Flow'!AC50),"N/A ")</f>
        <v>0.3289672552892861</v>
      </c>
      <c r="AD57" s="32"/>
      <c r="AE57" s="157">
        <f>IF(AE2&lt;'Enter and Change Data Here'!$G$121,IF(AE50&lt;=0,"N/A ",('Cash Flow'!AE40-'Cash Flow'!AE39-'Cash Flow'!AE26)/'Cash Flow'!AE50),"N/A ")</f>
        <v>0.361808689890062</v>
      </c>
      <c r="AF57" s="156"/>
      <c r="AG57" s="157">
        <f>IF(AG2&lt;'Enter and Change Data Here'!$G$121,IF(AG50&lt;=0,"N/A ",('Cash Flow'!AG40-'Cash Flow'!AG39-'Cash Flow'!AG26)/'Cash Flow'!AG50),"N/A ")</f>
        <v>0.4027726875700525</v>
      </c>
      <c r="AH57" s="156"/>
      <c r="AI57" s="157">
        <f>IF(AI2&lt;'Enter and Change Data Here'!$G$121,IF(AI50&lt;=0,"N/A ",('Cash Flow'!AI40-'Cash Flow'!AI39-'Cash Flow'!AI26)/'Cash Flow'!AI50),"N/A ")</f>
        <v>0.45535503205443933</v>
      </c>
      <c r="AJ57" s="156"/>
      <c r="AK57" s="157">
        <f>IF(AK2&lt;'Enter and Change Data Here'!$G$121,IF(AK50&lt;=0,"N/A ",('Cash Flow'!AK40-'Cash Flow'!AK39-'Cash Flow'!AK26)/'Cash Flow'!AK50),"N/A ")</f>
        <v>0.5253822306887157</v>
      </c>
      <c r="AL57" s="156"/>
      <c r="AM57" s="157">
        <f>IF(AM2&lt;'Enter and Change Data Here'!$G$121,IF(AM50&lt;=0,"N/A ",('Cash Flow'!AM40-'Cash Flow'!AM39-'Cash Flow'!AM26)/'Cash Flow'!AM50),"N/A ")</f>
        <v>0.6233421628443586</v>
      </c>
      <c r="AO57" s="157">
        <f>IF(AO2&lt;'Enter and Change Data Here'!$G$121,IF(AO50&lt;=0,"N/A ",('Cash Flow'!AO40-'Cash Flow'!AO39-'Cash Flow'!AO26)/'Cash Flow'!AO50),"N/A ")</f>
        <v>0.7702106988702686</v>
      </c>
      <c r="AP57" s="156"/>
      <c r="AQ57" s="157">
        <f>IF(AQ2&lt;'Enter and Change Data Here'!$G$121,IF(AQ50&lt;=0,"N/A ",('Cash Flow'!AQ40-'Cash Flow'!AQ39-'Cash Flow'!AQ26)/'Cash Flow'!AQ50),"N/A ")</f>
        <v>1.0149315551504554</v>
      </c>
      <c r="AR57" s="156"/>
      <c r="AS57" s="157">
        <f>IF(AS2&lt;'Enter and Change Data Here'!$G$121,IF(AS50&lt;=0,"N/A ",('Cash Flow'!AS40-'Cash Flow'!AS39-'Cash Flow'!AS26)/'Cash Flow'!AS50),"N/A ")</f>
        <v>1.5043357131217032</v>
      </c>
      <c r="AT57" s="156"/>
      <c r="AU57" s="157">
        <f>IF(AU2&lt;'Enter and Change Data Here'!$G$121,IF(AU50&lt;=0,"N/A ",('Cash Flow'!AU40-'Cash Flow'!AU39-'Cash Flow'!AU26)/'Cash Flow'!AU50),"N/A ")</f>
        <v>2.9725773529995316</v>
      </c>
      <c r="AV57" s="156"/>
      <c r="AW57" s="157" t="str">
        <f>IF(AW2&lt;'Enter and Change Data Here'!$G$121,IF(AW50&lt;=0,"N/A ",('Cash Flow'!AW40-'Cash Flow'!AW39-'Cash Flow'!AW26)/'Cash Flow'!AW50),"N/A ")</f>
        <v>N/A </v>
      </c>
      <c r="AX57" s="32"/>
      <c r="AY57" s="157" t="str">
        <f>IF(AY2&lt;'Enter and Change Data Here'!$G$121,IF(AY50&lt;=0,"N/A ",('Cash Flow'!AY40-'Cash Flow'!AY39-'Cash Flow'!AY26)/'Cash Flow'!AY50),"N/A ")</f>
        <v>N/A </v>
      </c>
      <c r="AZ57" s="156"/>
      <c r="BA57" s="157" t="str">
        <f>IF(BA2&lt;'Enter and Change Data Here'!$G$121,IF(BA50&lt;=0,"N/A ",('Cash Flow'!BA40-'Cash Flow'!BA39-'Cash Flow'!BA26)/'Cash Flow'!BA50),"N/A ")</f>
        <v>N/A </v>
      </c>
      <c r="BB57" s="156"/>
      <c r="BC57" s="157" t="str">
        <f>IF(BC2&lt;'Enter and Change Data Here'!$G$121,IF(BC50&lt;=0,"N/A ",('Cash Flow'!BC40-'Cash Flow'!BC39-'Cash Flow'!BC26)/'Cash Flow'!BC50),"N/A ")</f>
        <v>N/A </v>
      </c>
      <c r="BD57" s="156"/>
      <c r="BE57" s="157" t="str">
        <f>IF(BE2&lt;'Enter and Change Data Here'!$G$121,IF(BE50&lt;=0,"N/A ",('Cash Flow'!BE40-'Cash Flow'!BE39-'Cash Flow'!BE26)/'Cash Flow'!BE50),"N/A ")</f>
        <v>N/A </v>
      </c>
      <c r="BF57" s="156"/>
      <c r="BG57" s="157" t="str">
        <f>IF(BG2&lt;'Enter and Change Data Here'!$G$121,IF(BG50&lt;=0,"N/A ",('Cash Flow'!BG40-'Cash Flow'!BG39-'Cash Flow'!BG26)/'Cash Flow'!BG50),"N/A ")</f>
        <v>N/A </v>
      </c>
      <c r="BH57" s="156"/>
      <c r="BI57" s="157" t="str">
        <f>IF(BI2&lt;'Enter and Change Data Here'!$G$121,IF(BI50&lt;=0,"N/A ",('Cash Flow'!BI40-'Cash Flow'!BI39-'Cash Flow'!BI26)/'Cash Flow'!BI50),"N/A ")</f>
        <v>N/A </v>
      </c>
      <c r="BJ57" s="156"/>
      <c r="BK57" s="157" t="str">
        <f>IF(BK2&lt;'Enter and Change Data Here'!$G$121,IF(BK50&lt;=0,"N/A ",('Cash Flow'!BK40-'Cash Flow'!BK39-'Cash Flow'!BK26)/'Cash Flow'!BK50),"N/A ")</f>
        <v>N/A </v>
      </c>
      <c r="BL57" s="156"/>
      <c r="BM57" s="157" t="str">
        <f>IF(BM2&lt;'Enter and Change Data Here'!$G$121,IF(BM50&lt;=0,"N/A ",('Cash Flow'!BM40-'Cash Flow'!BM39-'Cash Flow'!BM26)/'Cash Flow'!BM50),"N/A ")</f>
        <v>N/A </v>
      </c>
      <c r="BN57" s="156"/>
      <c r="BO57" s="157" t="str">
        <f>IF(BO2&lt;'Enter and Change Data Here'!$G$121,IF(BO50&lt;=0,"N/A ",('Cash Flow'!BO40-'Cash Flow'!BO39-'Cash Flow'!BO26)/'Cash Flow'!BO50),"N/A ")</f>
        <v>N/A </v>
      </c>
      <c r="BP57" s="156"/>
      <c r="BQ57" s="157" t="str">
        <f>IF(BQ2&lt;'Enter and Change Data Here'!$G$121,IF(BQ50&lt;=0,"N/A ",('Cash Flow'!BQ40-'Cash Flow'!BQ39-'Cash Flow'!BQ26)/'Cash Flow'!BQ50),"N/A ")</f>
        <v>N/A </v>
      </c>
      <c r="BR57" s="32"/>
      <c r="BS57" s="157" t="str">
        <f>IF(BS2&lt;'Enter and Change Data Here'!$G$121,IF(BS50&lt;=0,"N/A ",('Cash Flow'!BS40-'Cash Flow'!BS39-'Cash Flow'!BS26)/'Cash Flow'!BS50),"N/A ")</f>
        <v>N/A </v>
      </c>
      <c r="BT57" s="156"/>
      <c r="BU57" s="157" t="str">
        <f>IF(BU2&lt;'Enter and Change Data Here'!$G$121,IF(BU50&lt;=0,"N/A ",('Cash Flow'!BU40-'Cash Flow'!BU39-'Cash Flow'!BU26)/'Cash Flow'!BU50),"N/A ")</f>
        <v>N/A </v>
      </c>
      <c r="BV57" s="156"/>
      <c r="BW57" s="157" t="str">
        <f>IF(BW2&lt;'Enter and Change Data Here'!$G$121,IF(BW50&lt;=0,"N/A ",('Cash Flow'!BW40-'Cash Flow'!BW39-'Cash Flow'!BW26)/'Cash Flow'!BW50),"N/A ")</f>
        <v>N/A </v>
      </c>
      <c r="BX57" s="156"/>
      <c r="BY57" s="157" t="str">
        <f>IF(BY2&lt;'Enter and Change Data Here'!$G$121,IF(BY50&lt;=0,"N/A ",('Cash Flow'!BY40-'Cash Flow'!BY39-'Cash Flow'!BY26)/'Cash Flow'!BY50),"N/A ")</f>
        <v>N/A </v>
      </c>
      <c r="BZ57" s="156"/>
      <c r="CA57" s="157" t="str">
        <f>IF(CA2&lt;'Enter and Change Data Here'!$G$121,IF(CA50&lt;=0,"N/A ",('Cash Flow'!CA40-'Cash Flow'!CA39-'Cash Flow'!CA26)/'Cash Flow'!CA50),"N/A ")</f>
        <v>N/A </v>
      </c>
      <c r="CB57" s="156"/>
      <c r="CC57" s="157" t="str">
        <f>IF(CC2&lt;'Enter and Change Data Here'!$G$121,IF(CC50&lt;=0,"N/A ",('Cash Flow'!CC40-'Cash Flow'!CC39-'Cash Flow'!CC26)/'Cash Flow'!CC50),"N/A ")</f>
        <v>N/A </v>
      </c>
      <c r="CD57" s="156"/>
      <c r="CE57" s="157" t="str">
        <f>IF(CE2&lt;'Enter and Change Data Here'!$G$121,IF(CE50&lt;=0,"N/A ",('Cash Flow'!CE40-'Cash Flow'!CE39-'Cash Flow'!CE26)/'Cash Flow'!CE50),"N/A ")</f>
        <v>N/A </v>
      </c>
      <c r="CF57" s="156"/>
      <c r="CG57" s="157" t="str">
        <f>IF(CG2&lt;'Enter and Change Data Here'!$G$121,IF(CG50&lt;=0,"N/A ",('Cash Flow'!CG40-'Cash Flow'!CG39-'Cash Flow'!CG26)/'Cash Flow'!CG50),"N/A ")</f>
        <v>N/A </v>
      </c>
      <c r="CH57" s="156"/>
      <c r="CI57" s="157" t="str">
        <f>IF(CI2&lt;'Enter and Change Data Here'!$G$121,IF(CI50&lt;=0,"N/A ",('Cash Flow'!CI40-'Cash Flow'!CI39-'Cash Flow'!CI26)/'Cash Flow'!CI50),"N/A ")</f>
        <v>N/A </v>
      </c>
      <c r="CJ57" s="156"/>
      <c r="CK57" s="157" t="str">
        <f>IF(CK2&lt;'Enter and Change Data Here'!$G$121,IF(CK50&lt;=0,"N/A ",('Cash Flow'!CK40-'Cash Flow'!CK39-'Cash Flow'!CK26)/'Cash Flow'!CK50),"N/A ")</f>
        <v>N/A </v>
      </c>
      <c r="CL57" s="32"/>
      <c r="CM57" s="157" t="str">
        <f>IF(CM2&lt;'Enter and Change Data Here'!$G$121,IF(CM50&lt;=0,"N/A ",('Cash Flow'!CM40-'Cash Flow'!CM39-'Cash Flow'!CM26)/'Cash Flow'!CM50),"N/A ")</f>
        <v>N/A </v>
      </c>
      <c r="CN57" s="156"/>
      <c r="CO57" s="157" t="str">
        <f>IF(CO2&lt;'Enter and Change Data Here'!$G$121,IF(CO50&lt;=0,"N/A ",('Cash Flow'!CO40-'Cash Flow'!CO39-'Cash Flow'!CO26)/'Cash Flow'!CO50),"N/A ")</f>
        <v>N/A </v>
      </c>
      <c r="CP57" s="156"/>
      <c r="CQ57" s="157" t="str">
        <f>IF(CQ2&lt;'Enter and Change Data Here'!$G$121,IF(CQ50&lt;=0,"N/A ",('Cash Flow'!CQ40-'Cash Flow'!CQ39-'Cash Flow'!CQ26)/'Cash Flow'!CQ50),"N/A ")</f>
        <v>N/A </v>
      </c>
      <c r="CR57" s="156"/>
      <c r="CS57" s="157" t="str">
        <f>IF(CS2&lt;'Enter and Change Data Here'!$G$121,IF(CS50&lt;=0,"N/A ",('Cash Flow'!CS40-'Cash Flow'!CS39-'Cash Flow'!CS26)/'Cash Flow'!CS50),"N/A ")</f>
        <v>N/A </v>
      </c>
      <c r="CT57" s="156"/>
      <c r="CU57" s="157" t="str">
        <f>IF(CU2&lt;'Enter and Change Data Here'!$G$121,IF(CU50&lt;=0,"N/A ",('Cash Flow'!CU40-'Cash Flow'!CU39-'Cash Flow'!CU26)/'Cash Flow'!CU50),"N/A ")</f>
        <v>N/A </v>
      </c>
      <c r="CW57" s="157" t="str">
        <f>IF(CW2&lt;'Enter and Change Data Here'!$G$121,IF(CW50&lt;=0,"N/A ",('Cash Flow'!CW40-'Cash Flow'!CW39-'Cash Flow'!CW26)/'Cash Flow'!CW50),"N/A ")</f>
        <v>N/A </v>
      </c>
      <c r="CX57" s="156"/>
      <c r="CY57" s="157" t="str">
        <f>IF(CY2&lt;'Enter and Change Data Here'!$G$121,IF(CY50&lt;=0,"N/A ",('Cash Flow'!CY40-'Cash Flow'!CY39-'Cash Flow'!CY26)/'Cash Flow'!CY50),"N/A ")</f>
        <v>N/A </v>
      </c>
      <c r="CZ57" s="156"/>
      <c r="DA57" s="157" t="str">
        <f>IF(DA2&lt;'Enter and Change Data Here'!$G$121,IF(DA50&lt;=0,"N/A ",('Cash Flow'!DA40-'Cash Flow'!DA39-'Cash Flow'!DA26)/'Cash Flow'!DA50),"N/A ")</f>
        <v>N/A </v>
      </c>
      <c r="DB57" s="156"/>
      <c r="DC57" s="157" t="str">
        <f>IF(DC2&lt;'Enter and Change Data Here'!$G$121,IF(DC50&lt;=0,"N/A ",('Cash Flow'!DC40-'Cash Flow'!DC39-'Cash Flow'!DC26)/'Cash Flow'!DC50),"N/A ")</f>
        <v>N/A </v>
      </c>
      <c r="DD57" s="156"/>
      <c r="DE57" s="157" t="str">
        <f>IF(DE2&lt;'Enter and Change Data Here'!$G$121,IF(DE50&lt;=0,"N/A ",('Cash Flow'!DE40-'Cash Flow'!DE39-'Cash Flow'!DE26)/'Cash Flow'!DE50),"N/A ")</f>
        <v>N/A </v>
      </c>
      <c r="DF57" s="204"/>
      <c r="DG57" s="222">
        <f>MIN(J57:DE57)</f>
        <v>0.2217751931676743</v>
      </c>
      <c r="DH57" s="204"/>
    </row>
    <row r="58" spans="2:112" ht="12.75">
      <c r="B58" s="3"/>
      <c r="C58" s="2" t="s">
        <v>181</v>
      </c>
      <c r="D58" s="2"/>
      <c r="E58" s="2"/>
      <c r="F58" s="2"/>
      <c r="G58" s="31" t="s">
        <v>227</v>
      </c>
      <c r="H58" s="32"/>
      <c r="I58" s="207">
        <f>IF('Enter and Change Data Here'!$G$30=100,MIN('Cash Flow'!K58:DE58),IF('Enter and Change Data Here'!$G$31=100,MIN('Cash Flow'!M58:DE58),IF('Enter and Change Data Here'!$G$32=100,MIN('Cash Flow'!O58:DE58,MIN('Cash Flow'!Q58:DE58)))))</f>
        <v>0.7604959086901291</v>
      </c>
      <c r="J58" s="2"/>
      <c r="K58" s="157">
        <f>IF(K2&lt;='Enter and Change Data Here'!$G$26,(K5+K7+K8)/K5,"N/A ")</f>
        <v>0.7775651356432984</v>
      </c>
      <c r="L58" s="156"/>
      <c r="M58" s="157">
        <f>IF(M2&lt;='Enter and Change Data Here'!$G$26,(M5+M7+M8)/M5,"N/A ")</f>
        <v>0.7990088302269304</v>
      </c>
      <c r="N58" s="156"/>
      <c r="O58" s="157">
        <f>IF(O2&lt;='Enter and Change Data Here'!$G$26,(O5+O7+O8)/O5,"N/A ")</f>
        <v>0.8071678777127679</v>
      </c>
      <c r="P58" s="156"/>
      <c r="Q58" s="157">
        <f>IF(Q2&lt;='Enter and Change Data Here'!$G$26,(Q5+Q7+Q8)/Q5,"N/A ")</f>
        <v>0.8052586487792309</v>
      </c>
      <c r="R58" s="156"/>
      <c r="S58" s="157">
        <f>IF(S2&lt;='Enter and Change Data Here'!$G$26,(S5+S7+S8)/S5,"N/A ")</f>
        <v>0.8033305165889263</v>
      </c>
      <c r="T58" s="156"/>
      <c r="U58" s="157">
        <f>IF(U2&lt;='Enter and Change Data Here'!$G$26,(U5+U7+U8)/U5,"N/A ")</f>
        <v>0.8013832939808958</v>
      </c>
      <c r="V58" s="156"/>
      <c r="W58" s="157">
        <f>IF(W2&lt;='Enter and Change Data Here'!$G$26,(W5+W7+W8)/W5,"N/A ")</f>
        <v>0.7994167919411027</v>
      </c>
      <c r="X58" s="156"/>
      <c r="Y58" s="157">
        <f>IF(Y2&lt;='Enter and Change Data Here'!$G$26,(Y5+Y7+Y8)/Y5,"N/A ")</f>
        <v>0.7974308195840839</v>
      </c>
      <c r="Z58" s="156"/>
      <c r="AA58" s="157">
        <f>IF(AA2&lt;='Enter and Change Data Here'!$G$26,(AA5+AA7+AA8)/AA5,"N/A ")</f>
        <v>0.7954251841344215</v>
      </c>
      <c r="AB58" s="156"/>
      <c r="AC58" s="157">
        <f>IF(AC2&lt;='Enter and Change Data Here'!$G$26,(AC5+AC7+AC8)/AC5,"N/A ")</f>
        <v>0.7933996909080296</v>
      </c>
      <c r="AD58" s="32"/>
      <c r="AE58" s="157">
        <f>IF(AE2&lt;='Enter and Change Data Here'!$G$26,(AE5+AE7+AE8)/AE5,"N/A ")</f>
        <v>0.7913541432932577</v>
      </c>
      <c r="AF58" s="156"/>
      <c r="AG58" s="157">
        <f>IF(AG2&lt;='Enter and Change Data Here'!$G$26,(AG5+AG7+AG8)/AG5,"N/A ")</f>
        <v>0.7892883427318047</v>
      </c>
      <c r="AH58" s="156"/>
      <c r="AI58" s="157">
        <f>IF(AI2&lt;='Enter and Change Data Here'!$G$26,(AI5+AI7+AI8)/AI5,"N/A ")</f>
        <v>0.7872020886994463</v>
      </c>
      <c r="AJ58" s="156"/>
      <c r="AK58" s="157">
        <f>IF(AK2&lt;='Enter and Change Data Here'!$G$26,(AK5+AK7+AK8)/AK5,"N/A ")</f>
        <v>0.7850951786865695</v>
      </c>
      <c r="AL58" s="156"/>
      <c r="AM58" s="157">
        <f>IF(AM2&lt;='Enter and Change Data Here'!$G$26,(AM5+AM7+AM8)/AM5,"N/A ")</f>
        <v>0.7829674081785158</v>
      </c>
      <c r="AO58" s="157">
        <f>IF(AO2&lt;='Enter and Change Data Here'!$G$26,(AO5+AO7+AO8)/AO5,"N/A ")</f>
        <v>0.7808185706357288</v>
      </c>
      <c r="AP58" s="156"/>
      <c r="AQ58" s="157">
        <f>IF(AQ2&lt;='Enter and Change Data Here'!$G$26,(AQ5+AQ7+AQ8)/AQ5,"N/A ")</f>
        <v>0.7786484574737064</v>
      </c>
      <c r="AR58" s="156"/>
      <c r="AS58" s="157">
        <f>IF(AS2&lt;='Enter and Change Data Here'!$G$26,(AS5+AS7+AS8)/AS5,"N/A ")</f>
        <v>0.7764568580427531</v>
      </c>
      <c r="AT58" s="156"/>
      <c r="AU58" s="157">
        <f>IF(AU2&lt;='Enter and Change Data Here'!$G$26,(AU5+AU7+AU8)/AU5,"N/A ")</f>
        <v>0.7742435596075328</v>
      </c>
      <c r="AV58" s="156"/>
      <c r="AW58" s="157">
        <f>IF(AW2&lt;='Enter and Change Data Here'!$G$26,(AW5+AW7+AW8)/AW5,"N/A ")</f>
        <v>0.7720083473264192</v>
      </c>
      <c r="AX58" s="32"/>
      <c r="AY58" s="157">
        <f>IF(AY2&lt;='Enter and Change Data Here'!$G$26,(AY5+AY7+AY8)/AY5,"N/A ")</f>
        <v>0.7697510042306411</v>
      </c>
      <c r="AZ58" s="156"/>
      <c r="BA58" s="157">
        <f>IF(BA2&lt;='Enter and Change Data Here'!$G$26,(BA5+BA7+BA8)/BA5,"N/A ")</f>
        <v>0.7674713112032219</v>
      </c>
      <c r="BB58" s="156"/>
      <c r="BC58" s="157">
        <f>IF(BC2&lt;='Enter and Change Data Here'!$G$26,(BC5+BC7+BC8)/BC5,"N/A ")</f>
        <v>0.7651690469577092</v>
      </c>
      <c r="BD58" s="156"/>
      <c r="BE58" s="157">
        <f>IF(BE2&lt;='Enter and Change Data Here'!$G$26,(BE5+BE7+BE8)/BE5,"N/A ")</f>
        <v>0.7628439880166964</v>
      </c>
      <c r="BF58" s="156"/>
      <c r="BG58" s="157">
        <f>IF(BG2&lt;='Enter and Change Data Here'!$G$26,(BG5+BG7+BG8)/BG5,"N/A ")</f>
        <v>0.7604959086901291</v>
      </c>
      <c r="BH58" s="156"/>
      <c r="BI58" s="157" t="str">
        <f>IF(BI2&lt;='Enter and Change Data Here'!$G$26,(BI5+BI7+BI8)/BI5,"N/A ")</f>
        <v>N/A </v>
      </c>
      <c r="BJ58" s="156"/>
      <c r="BK58" s="157" t="str">
        <f>IF(BK2&lt;='Enter and Change Data Here'!$G$26,(BK5+BK7+BK8)/BK5,"N/A ")</f>
        <v>N/A </v>
      </c>
      <c r="BL58" s="156"/>
      <c r="BM58" s="157" t="str">
        <f>IF(BM2&lt;='Enter and Change Data Here'!$G$26,(BM5+BM7+BM8)/BM5,"N/A ")</f>
        <v>N/A </v>
      </c>
      <c r="BN58" s="156"/>
      <c r="BO58" s="157" t="str">
        <f>IF(BO2&lt;='Enter and Change Data Here'!$G$26,(BO5+BO7+BO8)/BO5,"N/A ")</f>
        <v>N/A </v>
      </c>
      <c r="BP58" s="156"/>
      <c r="BQ58" s="157" t="str">
        <f>IF(BQ2&lt;='Enter and Change Data Here'!$G$26,(BQ5+BQ7+BQ8)/BQ5,"N/A ")</f>
        <v>N/A </v>
      </c>
      <c r="BR58" s="32"/>
      <c r="BS58" s="157" t="str">
        <f>IF(BS2&lt;='Enter and Change Data Here'!$G$26,(BS5+BS7+BS8)/BS5,"N/A ")</f>
        <v>N/A </v>
      </c>
      <c r="BT58" s="156"/>
      <c r="BU58" s="157" t="str">
        <f>IF(BU2&lt;='Enter and Change Data Here'!$G$26,(BU5+BU7+BU8)/BU5,"N/A ")</f>
        <v>N/A </v>
      </c>
      <c r="BV58" s="156"/>
      <c r="BW58" s="157" t="str">
        <f>IF(BW2&lt;='Enter and Change Data Here'!$G$26,(BW5+BW7+BW8)/BW5,"N/A ")</f>
        <v>N/A </v>
      </c>
      <c r="BX58" s="156"/>
      <c r="BY58" s="157" t="str">
        <f>IF(BY2&lt;='Enter and Change Data Here'!$G$26,(BY5+BY7+BY8)/BY5,"N/A ")</f>
        <v>N/A </v>
      </c>
      <c r="BZ58" s="156"/>
      <c r="CA58" s="157" t="str">
        <f>IF(CA2&lt;='Enter and Change Data Here'!$G$26,(CA5+CA7+CA8)/CA5,"N/A ")</f>
        <v>N/A </v>
      </c>
      <c r="CB58" s="156"/>
      <c r="CC58" s="157" t="str">
        <f>IF(CC2&lt;='Enter and Change Data Here'!$G$26,(CC5+CC7+CC8)/CC5,"N/A ")</f>
        <v>N/A </v>
      </c>
      <c r="CD58" s="156"/>
      <c r="CE58" s="157" t="str">
        <f>IF(CE2&lt;='Enter and Change Data Here'!$G$26,(CE5+CE7+CE8)/CE5,"N/A ")</f>
        <v>N/A </v>
      </c>
      <c r="CF58" s="156"/>
      <c r="CG58" s="157" t="str">
        <f>IF(CG2&lt;='Enter and Change Data Here'!$G$26,(CG5+CG7+CG8)/CG5,"N/A ")</f>
        <v>N/A </v>
      </c>
      <c r="CH58" s="156"/>
      <c r="CI58" s="157" t="str">
        <f>IF(CI2&lt;='Enter and Change Data Here'!$G$26,(CI5+CI7+CI8)/CI5,"N/A ")</f>
        <v>N/A </v>
      </c>
      <c r="CJ58" s="156"/>
      <c r="CK58" s="157" t="str">
        <f>IF(CK2&lt;='Enter and Change Data Here'!$G$26,(CK5+CK7+CK8)/CK5,"N/A ")</f>
        <v>N/A </v>
      </c>
      <c r="CL58" s="32"/>
      <c r="CM58" s="157" t="str">
        <f>IF(CM2&lt;='Enter and Change Data Here'!$G$26,(CM5+CM7+CM8)/CM5,"N/A ")</f>
        <v>N/A </v>
      </c>
      <c r="CN58" s="156"/>
      <c r="CO58" s="157" t="str">
        <f>IF(CO2&lt;='Enter and Change Data Here'!$G$26,(CO5+CO7+CO8)/CO5,"N/A ")</f>
        <v>N/A </v>
      </c>
      <c r="CP58" s="156"/>
      <c r="CQ58" s="157" t="str">
        <f>IF(CQ2&lt;='Enter and Change Data Here'!$G$26,(CQ5+CQ7+CQ8)/CQ5,"N/A ")</f>
        <v>N/A </v>
      </c>
      <c r="CR58" s="156"/>
      <c r="CS58" s="157" t="str">
        <f>IF(CS2&lt;='Enter and Change Data Here'!$G$26,(CS5+CS7+CS8)/CS5,"N/A ")</f>
        <v>N/A </v>
      </c>
      <c r="CT58" s="156"/>
      <c r="CU58" s="157" t="str">
        <f>IF(CU2&lt;='Enter and Change Data Here'!$G$26,(CU5+CU7+CU8)/CU5,"N/A ")</f>
        <v>N/A </v>
      </c>
      <c r="CW58" s="157" t="str">
        <f>IF(CW2&lt;='Enter and Change Data Here'!$G$26,(CW5+CW7+CW8)/CW5,"N/A ")</f>
        <v>N/A </v>
      </c>
      <c r="CX58" s="156"/>
      <c r="CY58" s="157" t="str">
        <f>IF(CY2&lt;='Enter and Change Data Here'!$G$26,(CY5+CY7+CY8)/CY5,"N/A ")</f>
        <v>N/A </v>
      </c>
      <c r="CZ58" s="156"/>
      <c r="DA58" s="157" t="str">
        <f>IF(DA2&lt;='Enter and Change Data Here'!$G$26,(DA5+DA7+DA8)/DA5,"N/A ")</f>
        <v>N/A </v>
      </c>
      <c r="DB58" s="156"/>
      <c r="DC58" s="157" t="str">
        <f>IF(DC2&lt;='Enter and Change Data Here'!$G$26,(DC5+DC7+DC8)/DC5,"N/A ")</f>
        <v>N/A </v>
      </c>
      <c r="DD58" s="156"/>
      <c r="DE58" s="157" t="str">
        <f>IF(DE2&lt;='Enter and Change Data Here'!$G$26,(DE5+DE7+DE8)/DE5,"N/A ")</f>
        <v>N/A </v>
      </c>
      <c r="DF58" s="204"/>
      <c r="DG58" s="222">
        <f>MIN(J58:DE58)</f>
        <v>0.7604959086901291</v>
      </c>
      <c r="DH58" s="204"/>
    </row>
    <row r="59" spans="2:112" ht="12.75">
      <c r="B59" s="3"/>
      <c r="C59" s="8" t="s">
        <v>205</v>
      </c>
      <c r="D59" s="2"/>
      <c r="E59" s="2"/>
      <c r="F59" s="2"/>
      <c r="G59" s="31" t="s">
        <v>228</v>
      </c>
      <c r="H59" s="32"/>
      <c r="I59" s="207">
        <f>IF('Enter and Change Data Here'!$G$30=100,MAX('Cash Flow'!K59:DE59),IF('Enter and Change Data Here'!$G$31=100,MAX('Cash Flow'!M59:DE59),IF('Enter and Change Data Here'!$G$32=100,MAX('Cash Flow'!O59:DE59,MAX('Cash Flow'!Q59:DE59)))))</f>
        <v>0.5461556588362619</v>
      </c>
      <c r="J59" s="2"/>
      <c r="K59" s="157">
        <f>IF(K2&lt;='Enter and Change Data Here'!$G$26,'Financial Statements'!L48/('Financial Statements'!L51+'Financial Statements'!L53),"N/A ")</f>
        <v>0.6490585484856256</v>
      </c>
      <c r="L59" s="156"/>
      <c r="M59" s="157">
        <f>IF(M2&lt;='Enter and Change Data Here'!$G$26,'Financial Statements'!N48/('Financial Statements'!N51+'Financial Statements'!N53),"N/A ")</f>
        <v>0.5986693030269872</v>
      </c>
      <c r="N59" s="156"/>
      <c r="O59" s="157">
        <f>IF(O2&lt;='Enter and Change Data Here'!$G$26,'Financial Statements'!P48/('Financial Statements'!P51+'Financial Statements'!P53),"N/A ")</f>
        <v>0.5461556588362619</v>
      </c>
      <c r="P59" s="156"/>
      <c r="Q59" s="157">
        <f>IF(Q2&lt;='Enter and Change Data Here'!$G$26,'Financial Statements'!R48/('Financial Statements'!R51+'Financial Statements'!R53),"N/A ")</f>
        <v>0.4971744574114048</v>
      </c>
      <c r="R59" s="156"/>
      <c r="S59" s="157">
        <f>IF(S2&lt;='Enter and Change Data Here'!$G$26,'Financial Statements'!T48/('Financial Statements'!T51+'Financial Statements'!T53),"N/A ")</f>
        <v>0.45141930488978405</v>
      </c>
      <c r="T59" s="156"/>
      <c r="U59" s="157">
        <f>IF(U2&lt;='Enter and Change Data Here'!$G$26,'Financial Statements'!V48/('Financial Statements'!V51+'Financial Statements'!V53),"N/A ")</f>
        <v>0.4086034093020765</v>
      </c>
      <c r="V59" s="156"/>
      <c r="W59" s="157">
        <f>IF(W2&lt;='Enter and Change Data Here'!$G$26,'Financial Statements'!X48/('Financial Statements'!X51+'Financial Statements'!X53),"N/A ")</f>
        <v>0.3684599295491569</v>
      </c>
      <c r="X59" s="156"/>
      <c r="Y59" s="157">
        <f>IF(Y2&lt;='Enter and Change Data Here'!$G$26,'Financial Statements'!Z48/('Financial Statements'!Z51+'Financial Statements'!Z53),"N/A ")</f>
        <v>0.3307417016237184</v>
      </c>
      <c r="Z59" s="156"/>
      <c r="AA59" s="157">
        <f>IF(AA2&lt;='Enter and Change Data Here'!$G$26,'Financial Statements'!AB48/('Financial Statements'!AB51+'Financial Statements'!AB53),"N/A ")</f>
        <v>0.29523009816969786</v>
      </c>
      <c r="AB59" s="156"/>
      <c r="AC59" s="157">
        <f>IF(AC2&lt;='Enter and Change Data Here'!$G$26,'Financial Statements'!AD48/('Financial Statements'!AD51+'Financial Statements'!AD53),"N/A ")</f>
        <v>0.26187798757541286</v>
      </c>
      <c r="AD59" s="32"/>
      <c r="AE59" s="157">
        <f>IF(AE2&lt;='Enter and Change Data Here'!$G$26,'Financial Statements'!AF48/('Financial Statements'!AF51+'Financial Statements'!AF53),"N/A ")</f>
        <v>0.23040875369888938</v>
      </c>
      <c r="AF59" s="156"/>
      <c r="AG59" s="157">
        <f>IF(AG2&lt;='Enter and Change Data Here'!$G$26,'Financial Statements'!AH48/('Financial Statements'!AH51+'Financial Statements'!AH53),"N/A ")</f>
        <v>0.20058090045543078</v>
      </c>
      <c r="AH59" s="156"/>
      <c r="AI59" s="157">
        <f>IF(AI2&lt;='Enter and Change Data Here'!$G$26,'Financial Statements'!AJ48/('Financial Statements'!AJ51+'Financial Statements'!AJ53),"N/A ")</f>
        <v>0.17218239995556656</v>
      </c>
      <c r="AJ59" s="156"/>
      <c r="AK59" s="157">
        <f>IF(AK2&lt;='Enter and Change Data Here'!$G$26,'Financial Statements'!AL48/('Financial Statements'!AL51+'Financial Statements'!AL53),"N/A ")</f>
        <v>0.14502608771429468</v>
      </c>
      <c r="AL59" s="156"/>
      <c r="AM59" s="157">
        <f>IF(AM2&lt;='Enter and Change Data Here'!$G$26,'Financial Statements'!AN48/('Financial Statements'!AN51+'Financial Statements'!AN53),"N/A ")</f>
        <v>0.11894588875467318</v>
      </c>
      <c r="AO59" s="157">
        <f>IF(AO2&lt;='Enter and Change Data Here'!$G$26,'Financial Statements'!AP48/('Financial Statements'!AP51+'Financial Statements'!AP53),"N/A ")</f>
        <v>0.09379370826525124</v>
      </c>
      <c r="AP59" s="156"/>
      <c r="AQ59" s="157">
        <f>IF(AQ2&lt;='Enter and Change Data Here'!$G$26,'Financial Statements'!AR48/('Financial Statements'!AR51+'Financial Statements'!AR53),"N/A ")</f>
        <v>0.06943685778576036</v>
      </c>
      <c r="AR59" s="156"/>
      <c r="AS59" s="157">
        <f>IF(AS2&lt;='Enter and Change Data Here'!$G$26,'Financial Statements'!AT48/('Financial Statements'!AT51+'Financial Statements'!AT53),"N/A ")</f>
        <v>0.04575591608615358</v>
      </c>
      <c r="AT59" s="156"/>
      <c r="AU59" s="157">
        <f>IF(AU2&lt;='Enter and Change Data Here'!$G$26,'Financial Statements'!AV48/('Financial Statements'!AV51+'Financial Statements'!AV53),"N/A ")</f>
        <v>0.022642945379894357</v>
      </c>
      <c r="AV59" s="156"/>
      <c r="AW59" s="157">
        <f>IF(AW2&lt;='Enter and Change Data Here'!$G$26,'Financial Statements'!AX48/('Financial Statements'!AX51+'Financial Statements'!AX53),"N/A ")</f>
        <v>0</v>
      </c>
      <c r="AX59" s="32"/>
      <c r="AY59" s="157">
        <f>IF(AY2&lt;='Enter and Change Data Here'!$G$26,'Financial Statements'!AZ48/('Financial Statements'!AZ51+'Financial Statements'!AZ53),"N/A ")</f>
        <v>0</v>
      </c>
      <c r="AZ59" s="156"/>
      <c r="BA59" s="157">
        <f>IF(BA2&lt;='Enter and Change Data Here'!$G$26,'Financial Statements'!BB48/('Financial Statements'!BB51+'Financial Statements'!BB53),"N/A ")</f>
        <v>0</v>
      </c>
      <c r="BB59" s="156"/>
      <c r="BC59" s="157">
        <f>IF(BC2&lt;='Enter and Change Data Here'!$G$26,'Financial Statements'!BD48/('Financial Statements'!BD51+'Financial Statements'!BD53),"N/A ")</f>
        <v>0</v>
      </c>
      <c r="BD59" s="156"/>
      <c r="BE59" s="157">
        <f>IF(BE2&lt;='Enter and Change Data Here'!$G$26,'Financial Statements'!BF48/('Financial Statements'!BF51+'Financial Statements'!BF53),"N/A ")</f>
        <v>0</v>
      </c>
      <c r="BF59" s="156"/>
      <c r="BG59" s="157">
        <f>IF(BG2&lt;='Enter and Change Data Here'!$G$26,'Financial Statements'!BH48/('Financial Statements'!BH51+'Financial Statements'!BH53),"N/A ")</f>
        <v>0</v>
      </c>
      <c r="BH59" s="156"/>
      <c r="BI59" s="157" t="str">
        <f>IF(BI2&lt;='Enter and Change Data Here'!$G$26,'Financial Statements'!BJ48/('Financial Statements'!BJ51+'Financial Statements'!BJ53),"N/A ")</f>
        <v>N/A </v>
      </c>
      <c r="BJ59" s="156"/>
      <c r="BK59" s="157" t="str">
        <f>IF(BK2&lt;='Enter and Change Data Here'!$G$26,'Financial Statements'!BL48/('Financial Statements'!BL51+'Financial Statements'!BL53),"N/A ")</f>
        <v>N/A </v>
      </c>
      <c r="BL59" s="156"/>
      <c r="BM59" s="157" t="str">
        <f>IF(BM2&lt;='Enter and Change Data Here'!$G$26,'Financial Statements'!BN48/('Financial Statements'!BN51+'Financial Statements'!BN53),"N/A ")</f>
        <v>N/A </v>
      </c>
      <c r="BN59" s="156"/>
      <c r="BO59" s="157" t="str">
        <f>IF(BO2&lt;='Enter and Change Data Here'!$G$26,'Financial Statements'!BP48/('Financial Statements'!BP51+'Financial Statements'!BP53),"N/A ")</f>
        <v>N/A </v>
      </c>
      <c r="BP59" s="156"/>
      <c r="BQ59" s="157" t="str">
        <f>IF(BQ2&lt;='Enter and Change Data Here'!$G$26,'Financial Statements'!BR48/('Financial Statements'!BR51+'Financial Statements'!BR53),"N/A ")</f>
        <v>N/A </v>
      </c>
      <c r="BR59" s="32"/>
      <c r="BS59" s="157" t="str">
        <f>IF(BS2&lt;='Enter and Change Data Here'!$G$26,'Financial Statements'!BT48/('Financial Statements'!BT51+'Financial Statements'!BT53),"N/A ")</f>
        <v>N/A </v>
      </c>
      <c r="BT59" s="156"/>
      <c r="BU59" s="157" t="str">
        <f>IF(BU2&lt;='Enter and Change Data Here'!$G$26,'Financial Statements'!BV48/('Financial Statements'!BV51+'Financial Statements'!BV53),"N/A ")</f>
        <v>N/A </v>
      </c>
      <c r="BV59" s="156"/>
      <c r="BW59" s="157" t="str">
        <f>IF(BW2&lt;='Enter and Change Data Here'!$G$26,'Financial Statements'!BX48/('Financial Statements'!BX51+'Financial Statements'!BX53),"N/A ")</f>
        <v>N/A </v>
      </c>
      <c r="BX59" s="156"/>
      <c r="BY59" s="157" t="str">
        <f>IF(BY2&lt;='Enter and Change Data Here'!$G$26,'Financial Statements'!BZ48/('Financial Statements'!BZ51+'Financial Statements'!BZ53),"N/A ")</f>
        <v>N/A </v>
      </c>
      <c r="BZ59" s="156"/>
      <c r="CA59" s="157" t="str">
        <f>IF(CA2&lt;='Enter and Change Data Here'!$G$26,'Financial Statements'!CB48/('Financial Statements'!CB51+'Financial Statements'!CB53),"N/A ")</f>
        <v>N/A </v>
      </c>
      <c r="CB59" s="156"/>
      <c r="CC59" s="157" t="str">
        <f>IF(CC2&lt;='Enter and Change Data Here'!$G$26,'Financial Statements'!CD48/('Financial Statements'!CD51+'Financial Statements'!CD53),"N/A ")</f>
        <v>N/A </v>
      </c>
      <c r="CD59" s="156"/>
      <c r="CE59" s="157" t="str">
        <f>IF(CE2&lt;='Enter and Change Data Here'!$G$26,'Financial Statements'!CF48/('Financial Statements'!CF51+'Financial Statements'!CF53),"N/A ")</f>
        <v>N/A </v>
      </c>
      <c r="CF59" s="156"/>
      <c r="CG59" s="157" t="str">
        <f>IF(CG2&lt;='Enter and Change Data Here'!$G$26,'Financial Statements'!CH48/('Financial Statements'!CH51+'Financial Statements'!CH53),"N/A ")</f>
        <v>N/A </v>
      </c>
      <c r="CH59" s="156"/>
      <c r="CI59" s="157" t="str">
        <f>IF(CI2&lt;='Enter and Change Data Here'!$G$26,'Financial Statements'!CJ48/('Financial Statements'!CJ51+'Financial Statements'!CJ53),"N/A ")</f>
        <v>N/A </v>
      </c>
      <c r="CJ59" s="156"/>
      <c r="CK59" s="157" t="str">
        <f>IF(CK2&lt;='Enter and Change Data Here'!$G$26,'Financial Statements'!CL48/('Financial Statements'!CL51+'Financial Statements'!CL53),"N/A ")</f>
        <v>N/A </v>
      </c>
      <c r="CL59" s="32"/>
      <c r="CM59" s="157" t="str">
        <f>IF(CM2&lt;='Enter and Change Data Here'!$G$26,'Financial Statements'!CN48/('Financial Statements'!CN51+'Financial Statements'!CN53),"N/A ")</f>
        <v>N/A </v>
      </c>
      <c r="CN59" s="156"/>
      <c r="CO59" s="157" t="str">
        <f>IF(CO2&lt;='Enter and Change Data Here'!$G$26,'Financial Statements'!CP48/('Financial Statements'!CP51+'Financial Statements'!CP53),"N/A ")</f>
        <v>N/A </v>
      </c>
      <c r="CP59" s="156"/>
      <c r="CQ59" s="157" t="str">
        <f>IF(CQ2&lt;='Enter and Change Data Here'!$G$26,'Financial Statements'!CR48/('Financial Statements'!CR51+'Financial Statements'!CR53),"N/A ")</f>
        <v>N/A </v>
      </c>
      <c r="CR59" s="156"/>
      <c r="CS59" s="157" t="str">
        <f>IF(CS2&lt;='Enter and Change Data Here'!$G$26,'Financial Statements'!CT48/('Financial Statements'!CT51+'Financial Statements'!CT53),"N/A ")</f>
        <v>N/A </v>
      </c>
      <c r="CT59" s="156"/>
      <c r="CU59" s="157" t="str">
        <f>IF(CU2&lt;='Enter and Change Data Here'!$G$26,'Financial Statements'!CV48/('Financial Statements'!CV51+'Financial Statements'!CV53),"N/A ")</f>
        <v>N/A </v>
      </c>
      <c r="CW59" s="157" t="str">
        <f>IF(CW2&lt;='Enter and Change Data Here'!$G$26,'Financial Statements'!CX48/('Financial Statements'!CX51+'Financial Statements'!CX53),"N/A ")</f>
        <v>N/A </v>
      </c>
      <c r="CX59" s="156"/>
      <c r="CY59" s="157" t="str">
        <f>IF(CY2&lt;='Enter and Change Data Here'!$G$26,'Financial Statements'!CZ48/('Financial Statements'!CZ51+'Financial Statements'!CZ53),"N/A ")</f>
        <v>N/A </v>
      </c>
      <c r="CZ59" s="156"/>
      <c r="DA59" s="157" t="str">
        <f>IF(DA2&lt;='Enter and Change Data Here'!$G$26,'Financial Statements'!DB48/('Financial Statements'!DB51+'Financial Statements'!DB53),"N/A ")</f>
        <v>N/A </v>
      </c>
      <c r="DB59" s="156"/>
      <c r="DC59" s="157" t="str">
        <f>IF(DC2&lt;='Enter and Change Data Here'!$G$26,'Financial Statements'!DD48/('Financial Statements'!DD51+'Financial Statements'!DD53),"N/A ")</f>
        <v>N/A </v>
      </c>
      <c r="DD59" s="156"/>
      <c r="DE59" s="157" t="str">
        <f>IF(DE2&lt;='Enter and Change Data Here'!$G$26,'Financial Statements'!DF48/('Financial Statements'!DF51+'Financial Statements'!DF53),"N/A ")</f>
        <v>N/A </v>
      </c>
      <c r="DF59" s="204"/>
      <c r="DG59" s="222">
        <f>MAX(J59:DE59)</f>
        <v>0.6490585484856256</v>
      </c>
      <c r="DH59" s="204"/>
    </row>
    <row r="60" spans="2:112" ht="12.75">
      <c r="B60" s="3"/>
      <c r="C60" s="27" t="s">
        <v>206</v>
      </c>
      <c r="D60" s="2"/>
      <c r="E60" s="2"/>
      <c r="F60" s="2"/>
      <c r="G60" s="31" t="s">
        <v>229</v>
      </c>
      <c r="H60" s="32"/>
      <c r="I60" s="207">
        <f>IF('Enter and Change Data Here'!$G$30=100,AVERAGE('Cash Flow'!K60:DE60),IF('Enter and Change Data Here'!$G$31=100,AVERAGE('Cash Flow'!M60:DE60),IF('Enter and Change Data Here'!$G$32=100,AVERAGE('Cash Flow'!O60:DE60,AVERAGE('Cash Flow'!Q60:DE60)))))</f>
        <v>0.09598547527925361</v>
      </c>
      <c r="J60" s="2"/>
      <c r="K60" s="157">
        <f>IF(K2&lt;='Enter and Change Data Here'!$G$26,('Financial Statements'!L25+'Financial Statements'!L22+'Financial Statements'!L23+'Financial Statements'!L17)/('Financial Statements'!L48+'Financial Statements'!L51+'Financial Statements'!L53),"N/A ")</f>
        <v>0.07538398066081456</v>
      </c>
      <c r="L60" s="156"/>
      <c r="M60" s="157">
        <f>IF(M2&lt;='Enter and Change Data Here'!$G$26,('Financial Statements'!N25+'Financial Statements'!N22+'Financial Statements'!N23+'Financial Statements'!N17)/('Financial Statements'!N48+'Financial Statements'!N51+'Financial Statements'!N53),"N/A ")</f>
        <v>0.09402820356537425</v>
      </c>
      <c r="N60" s="156"/>
      <c r="O60" s="157">
        <f>IF(O2&lt;='Enter and Change Data Here'!$G$26,('Financial Statements'!P25+'Financial Statements'!P22+'Financial Statements'!P23+'Financial Statements'!P17)/('Financial Statements'!P48+'Financial Statements'!P51+'Financial Statements'!P53),"N/A ")</f>
        <v>0.10273323997494854</v>
      </c>
      <c r="P60" s="156"/>
      <c r="Q60" s="157">
        <f>IF(Q2&lt;='Enter and Change Data Here'!$G$26,('Financial Statements'!R25+'Financial Statements'!R22+'Financial Statements'!R23+'Financial Statements'!R17)/('Financial Statements'!R48+'Financial Statements'!R51+'Financial Statements'!R53),"N/A ")</f>
        <v>0.1023842711481739</v>
      </c>
      <c r="R60" s="156"/>
      <c r="S60" s="157">
        <f>IF(S2&lt;='Enter and Change Data Here'!$G$26,('Financial Statements'!T25+'Financial Statements'!T22+'Financial Statements'!T23+'Financial Statements'!T17)/('Financial Statements'!T48+'Financial Statements'!T51+'Financial Statements'!T53),"N/A ")</f>
        <v>0.10196648021440405</v>
      </c>
      <c r="T60" s="156"/>
      <c r="U60" s="157">
        <f>IF(U2&lt;='Enter and Change Data Here'!$G$26,('Financial Statements'!V25+'Financial Statements'!V22+'Financial Statements'!V23+'Financial Statements'!V17)/('Financial Statements'!V48+'Financial Statements'!V51+'Financial Statements'!V53),"N/A ")</f>
        <v>0.10148866271266721</v>
      </c>
      <c r="V60" s="156"/>
      <c r="W60" s="157">
        <f>IF(W2&lt;='Enter and Change Data Here'!$G$26,('Financial Statements'!X25+'Financial Statements'!X22+'Financial Statements'!X23+'Financial Statements'!X17)/('Financial Statements'!X48+'Financial Statements'!X51+'Financial Statements'!X53),"N/A ")</f>
        <v>0.10095919724401961</v>
      </c>
      <c r="X60" s="156"/>
      <c r="Y60" s="157">
        <f>IF(Y2&lt;='Enter and Change Data Here'!$G$26,('Financial Statements'!Z25+'Financial Statements'!Z22+'Financial Statements'!Z23+'Financial Statements'!Z17)/('Financial Statements'!Z48+'Financial Statements'!Z51+'Financial Statements'!Z53),"N/A ")</f>
        <v>0.1003860168770402</v>
      </c>
      <c r="Z60" s="156"/>
      <c r="AA60" s="157">
        <f>IF(AA2&lt;='Enter and Change Data Here'!$G$26,('Financial Statements'!AB25+'Financial Statements'!AB22+'Financial Statements'!AB23+'Financial Statements'!AB17)/('Financial Statements'!AB48+'Financial Statements'!AB51+'Financial Statements'!AB53),"N/A ")</f>
        <v>0.09973745987985418</v>
      </c>
      <c r="AB60" s="156"/>
      <c r="AC60" s="157">
        <f>IF(AC2&lt;='Enter and Change Data Here'!$G$26,('Financial Statements'!AD25+'Financial Statements'!AD22+'Financial Statements'!AD23+'Financial Statements'!AD17)/('Financial Statements'!AD48+'Financial Statements'!AD51+'Financial Statements'!AD53),"N/A ")</f>
        <v>0.09826829757114057</v>
      </c>
      <c r="AD60" s="32"/>
      <c r="AE60" s="157">
        <f>IF(AE2&lt;='Enter and Change Data Here'!$G$26,('Financial Statements'!AF25+'Financial Statements'!AF22+'Financial Statements'!AF23+'Financial Statements'!AF17)/('Financial Statements'!AF48+'Financial Statements'!AF51+'Financial Statements'!AF53),"N/A ")</f>
        <v>0.09684499088860628</v>
      </c>
      <c r="AF60" s="156"/>
      <c r="AG60" s="157">
        <f>IF(AG2&lt;='Enter and Change Data Here'!$G$26,('Financial Statements'!AH25+'Financial Statements'!AH22+'Financial Statements'!AH23+'Financial Statements'!AH17)/('Financial Statements'!AH48+'Financial Statements'!AH51+'Financial Statements'!AH53),"N/A ")</f>
        <v>0.09546808096572114</v>
      </c>
      <c r="AH60" s="156"/>
      <c r="AI60" s="157">
        <f>IF(AI2&lt;='Enter and Change Data Here'!$G$26,('Financial Statements'!AJ25+'Financial Statements'!AJ22+'Financial Statements'!AJ23+'Financial Statements'!AJ17)/('Financial Statements'!AJ48+'Financial Statements'!AJ51+'Financial Statements'!AJ53),"N/A ")</f>
        <v>0.09413798330257035</v>
      </c>
      <c r="AJ60" s="156"/>
      <c r="AK60" s="157">
        <f>IF(AK2&lt;='Enter and Change Data Here'!$G$26,('Financial Statements'!AL25+'Financial Statements'!AL22+'Financial Statements'!AL23+'Financial Statements'!AL17)/('Financial Statements'!AL48+'Financial Statements'!AL51+'Financial Statements'!AL53),"N/A ")</f>
        <v>0.09285501902234175</v>
      </c>
      <c r="AL60" s="156"/>
      <c r="AM60" s="157">
        <f>IF(AM2&lt;='Enter and Change Data Here'!$G$26,('Financial Statements'!AN25+'Financial Statements'!AN22+'Financial Statements'!AN23+'Financial Statements'!AN17)/('Financial Statements'!AN48+'Financial Statements'!AN51+'Financial Statements'!AN53),"N/A ")</f>
        <v>0.09161944356479215</v>
      </c>
      <c r="AO60" s="157">
        <f>IF(AO2&lt;='Enter and Change Data Here'!$G$26,('Financial Statements'!AP25+'Financial Statements'!AP22+'Financial Statements'!AP23+'Financial Statements'!AP17)/('Financial Statements'!AP48+'Financial Statements'!AP51+'Financial Statements'!AP53),"N/A ")</f>
        <v>0.0904314732396373</v>
      </c>
      <c r="AP60" s="156"/>
      <c r="AQ60" s="157">
        <f>IF(AQ2&lt;='Enter and Change Data Here'!$G$26,('Financial Statements'!AR25+'Financial Statements'!AR22+'Financial Statements'!AR23+'Financial Statements'!AR17)/('Financial Statements'!AR48+'Financial Statements'!AR51+'Financial Statements'!AR53),"N/A ")</f>
        <v>0.08929131006154424</v>
      </c>
      <c r="AR60" s="156"/>
      <c r="AS60" s="157">
        <f>IF(AS2&lt;='Enter and Change Data Here'!$G$26,('Financial Statements'!AT25+'Financial Statements'!AT22+'Financial Statements'!AT23+'Financial Statements'!AT17)/('Financial Statements'!AT48+'Financial Statements'!AT51+'Financial Statements'!AT53),"N/A ")</f>
        <v>0.08819916528967052</v>
      </c>
      <c r="AT60" s="156"/>
      <c r="AU60" s="157">
        <f>IF(AU2&lt;='Enter and Change Data Here'!$G$26,('Financial Statements'!AV25+'Financial Statements'!AV22+'Financial Statements'!AV23+'Financial Statements'!AV17)/('Financial Statements'!AV48+'Financial Statements'!AV51+'Financial Statements'!AV53),"N/A ")</f>
        <v>0.08715528210057563</v>
      </c>
      <c r="AV60" s="156"/>
      <c r="AW60" s="157">
        <f>IF(AW2&lt;='Enter and Change Data Here'!$G$26,('Financial Statements'!AX25+'Financial Statements'!AX22+'Financial Statements'!AX23+'Financial Statements'!AX17)/('Financial Statements'!AX48+'Financial Statements'!AX51+'Financial Statements'!AX53),"N/A ")</f>
        <v>0.08615995783588551</v>
      </c>
      <c r="AX60" s="32"/>
      <c r="AY60" s="157">
        <f>IF(AY2&lt;='Enter and Change Data Here'!$G$26,('Financial Statements'!AZ25+'Financial Statements'!AZ22+'Financial Statements'!AZ23+'Financial Statements'!AZ17)/('Financial Statements'!AZ48+'Financial Statements'!AZ51+'Financial Statements'!AZ53),"N/A ")</f>
        <v>0.10608541509435725</v>
      </c>
      <c r="AZ60" s="156"/>
      <c r="BA60" s="157">
        <f>IF(BA2&lt;='Enter and Change Data Here'!$G$26,('Financial Statements'!BB25+'Financial Statements'!BB22+'Financial Statements'!BB23+'Financial Statements'!BB17)/('Financial Statements'!BB48+'Financial Statements'!BB51+'Financial Statements'!BB53),"N/A ")</f>
        <v>0.10140167009370694</v>
      </c>
      <c r="BB60" s="156"/>
      <c r="BC60" s="157">
        <f>IF(BC2&lt;='Enter and Change Data Here'!$G$26,('Financial Statements'!BD25+'Financial Statements'!BD22+'Financial Statements'!BD23+'Financial Statements'!BD17)/('Financial Statements'!BD48+'Financial Statements'!BD51+'Financial Statements'!BD53),"N/A ")</f>
        <v>0.0971774580881102</v>
      </c>
      <c r="BD60" s="156"/>
      <c r="BE60" s="157">
        <f>IF(BE2&lt;='Enter and Change Data Here'!$G$26,('Financial Statements'!BF25+'Financial Statements'!BF22+'Financial Statements'!BF23+'Financial Statements'!BF17)/('Financial Statements'!BF48+'Financial Statements'!BF51+'Financial Statements'!BF53),"N/A ")</f>
        <v>0.09334806359093357</v>
      </c>
      <c r="BF60" s="156"/>
      <c r="BG60" s="157">
        <f>IF(BG2&lt;='Enter and Change Data Here'!$G$26,('Financial Statements'!BH25+'Financial Statements'!BH22+'Financial Statements'!BH23+'Financial Statements'!BH17)/('Financial Statements'!BH48+'Financial Statements'!BH51+'Financial Statements'!BH53),"N/A ")</f>
        <v>0.08986037373585704</v>
      </c>
      <c r="BH60" s="156"/>
      <c r="BI60" s="157" t="str">
        <f>IF(BI2&lt;='Enter and Change Data Here'!$G$26,('Financial Statements'!BJ25+'Financial Statements'!BJ22+'Financial Statements'!BJ23+'Financial Statements'!BJ17)/('Financial Statements'!BJ48+'Financial Statements'!BJ51+'Financial Statements'!BJ53),"N/A ")</f>
        <v>N/A </v>
      </c>
      <c r="BJ60" s="156"/>
      <c r="BK60" s="157" t="str">
        <f>IF(BK2&lt;='Enter and Change Data Here'!$G$26,('Financial Statements'!BL25+'Financial Statements'!BL22+'Financial Statements'!BL23+'Financial Statements'!BL17)/('Financial Statements'!BL48+'Financial Statements'!BL51+'Financial Statements'!BL53),"N/A ")</f>
        <v>N/A </v>
      </c>
      <c r="BL60" s="156"/>
      <c r="BM60" s="157" t="str">
        <f>IF(BM2&lt;='Enter and Change Data Here'!$G$26,('Financial Statements'!BN25+'Financial Statements'!BN22+'Financial Statements'!BN23+'Financial Statements'!BN17)/('Financial Statements'!BN48+'Financial Statements'!BN51+'Financial Statements'!BN53),"N/A ")</f>
        <v>N/A </v>
      </c>
      <c r="BN60" s="156"/>
      <c r="BO60" s="157" t="str">
        <f>IF(BO2&lt;='Enter and Change Data Here'!$G$26,('Financial Statements'!BP25+'Financial Statements'!BP22+'Financial Statements'!BP23+'Financial Statements'!BP17)/('Financial Statements'!BP48+'Financial Statements'!BP51+'Financial Statements'!BP53),"N/A ")</f>
        <v>N/A </v>
      </c>
      <c r="BP60" s="156"/>
      <c r="BQ60" s="157" t="str">
        <f>IF(BQ2&lt;='Enter and Change Data Here'!$G$26,('Financial Statements'!BR25+'Financial Statements'!BR22+'Financial Statements'!BR23+'Financial Statements'!BR17)/('Financial Statements'!BR48+'Financial Statements'!BR51+'Financial Statements'!BR53),"N/A ")</f>
        <v>N/A </v>
      </c>
      <c r="BR60" s="32"/>
      <c r="BS60" s="157" t="str">
        <f>IF(BS2&lt;='Enter and Change Data Here'!$G$26,('Financial Statements'!BT25+'Financial Statements'!BT22+'Financial Statements'!BT23+'Financial Statements'!BT17)/('Financial Statements'!BT48+'Financial Statements'!BT51+'Financial Statements'!BT53),"N/A ")</f>
        <v>N/A </v>
      </c>
      <c r="BT60" s="156"/>
      <c r="BU60" s="157" t="str">
        <f>IF(BU2&lt;='Enter and Change Data Here'!$G$26,('Financial Statements'!BV25+'Financial Statements'!BV22+'Financial Statements'!BV23+'Financial Statements'!BV17)/('Financial Statements'!BV48+'Financial Statements'!BV51+'Financial Statements'!BV53),"N/A ")</f>
        <v>N/A </v>
      </c>
      <c r="BV60" s="156"/>
      <c r="BW60" s="157" t="str">
        <f>IF(BW2&lt;='Enter and Change Data Here'!$G$26,('Financial Statements'!BX25+'Financial Statements'!BX22+'Financial Statements'!BX23+'Financial Statements'!BX17)/('Financial Statements'!BX48+'Financial Statements'!BX51+'Financial Statements'!BX53),"N/A ")</f>
        <v>N/A </v>
      </c>
      <c r="BX60" s="156"/>
      <c r="BY60" s="157" t="str">
        <f>IF(BY2&lt;='Enter and Change Data Here'!$G$26,('Financial Statements'!BZ25+'Financial Statements'!BZ22+'Financial Statements'!BZ23+'Financial Statements'!BZ17)/('Financial Statements'!BZ48+'Financial Statements'!BZ51+'Financial Statements'!BZ53),"N/A ")</f>
        <v>N/A </v>
      </c>
      <c r="BZ60" s="156"/>
      <c r="CA60" s="157" t="str">
        <f>IF(CA2&lt;='Enter and Change Data Here'!$G$26,('Financial Statements'!CB25+'Financial Statements'!CB22+'Financial Statements'!CB23+'Financial Statements'!CB17)/('Financial Statements'!CB48+'Financial Statements'!CB51+'Financial Statements'!CB53),"N/A ")</f>
        <v>N/A </v>
      </c>
      <c r="CB60" s="156"/>
      <c r="CC60" s="157" t="str">
        <f>IF(CC2&lt;='Enter and Change Data Here'!$G$26,('Financial Statements'!CD25+'Financial Statements'!CD22+'Financial Statements'!CD23+'Financial Statements'!CD17)/('Financial Statements'!CD48+'Financial Statements'!CD51+'Financial Statements'!CD53),"N/A ")</f>
        <v>N/A </v>
      </c>
      <c r="CD60" s="156"/>
      <c r="CE60" s="157" t="str">
        <f>IF(CE2&lt;='Enter and Change Data Here'!$G$26,('Financial Statements'!CF25+'Financial Statements'!CF22+'Financial Statements'!CF23+'Financial Statements'!CF17)/('Financial Statements'!CF48+'Financial Statements'!CF51+'Financial Statements'!CF53),"N/A ")</f>
        <v>N/A </v>
      </c>
      <c r="CF60" s="156"/>
      <c r="CG60" s="157" t="str">
        <f>IF(CG2&lt;='Enter and Change Data Here'!$G$26,('Financial Statements'!CH25+'Financial Statements'!CH22+'Financial Statements'!CH23+'Financial Statements'!CH17)/('Financial Statements'!CH48+'Financial Statements'!CH51+'Financial Statements'!CH53),"N/A ")</f>
        <v>N/A </v>
      </c>
      <c r="CH60" s="156"/>
      <c r="CI60" s="157" t="str">
        <f>IF(CI2&lt;='Enter and Change Data Here'!$G$26,('Financial Statements'!CJ25+'Financial Statements'!CJ22+'Financial Statements'!CJ23+'Financial Statements'!CJ17)/('Financial Statements'!CJ48+'Financial Statements'!CJ51+'Financial Statements'!CJ53),"N/A ")</f>
        <v>N/A </v>
      </c>
      <c r="CJ60" s="156"/>
      <c r="CK60" s="157" t="str">
        <f>IF(CK2&lt;='Enter and Change Data Here'!$G$26,('Financial Statements'!CL25+'Financial Statements'!CL22+'Financial Statements'!CL23+'Financial Statements'!CL17)/('Financial Statements'!CL48+'Financial Statements'!CL51+'Financial Statements'!CL53),"N/A ")</f>
        <v>N/A </v>
      </c>
      <c r="CL60" s="32"/>
      <c r="CM60" s="157" t="str">
        <f>IF(CM2&lt;='Enter and Change Data Here'!$G$26,('Financial Statements'!CN25+'Financial Statements'!CN22+'Financial Statements'!CN23+'Financial Statements'!CN17)/('Financial Statements'!CN48+'Financial Statements'!CN51+'Financial Statements'!CN53),"N/A ")</f>
        <v>N/A </v>
      </c>
      <c r="CN60" s="156"/>
      <c r="CO60" s="157" t="str">
        <f>IF(CO2&lt;='Enter and Change Data Here'!$G$26,('Financial Statements'!CP25+'Financial Statements'!CP22+'Financial Statements'!CP23+'Financial Statements'!CP17)/('Financial Statements'!CP48+'Financial Statements'!CP51+'Financial Statements'!CP53),"N/A ")</f>
        <v>N/A </v>
      </c>
      <c r="CP60" s="156"/>
      <c r="CQ60" s="157" t="str">
        <f>IF(CQ2&lt;='Enter and Change Data Here'!$G$26,('Financial Statements'!CR25+'Financial Statements'!CR22+'Financial Statements'!CR23+'Financial Statements'!CR17)/('Financial Statements'!CR48+'Financial Statements'!CR51+'Financial Statements'!CR53),"N/A ")</f>
        <v>N/A </v>
      </c>
      <c r="CR60" s="156"/>
      <c r="CS60" s="157" t="str">
        <f>IF(CS2&lt;='Enter and Change Data Here'!$G$26,('Financial Statements'!CT25+'Financial Statements'!CT22+'Financial Statements'!CT23+'Financial Statements'!CT17)/('Financial Statements'!CT48+'Financial Statements'!CT51+'Financial Statements'!CT53),"N/A ")</f>
        <v>N/A </v>
      </c>
      <c r="CT60" s="156"/>
      <c r="CU60" s="157" t="str">
        <f>IF(CU2&lt;='Enter and Change Data Here'!$G$26,('Financial Statements'!CV25+'Financial Statements'!CV22+'Financial Statements'!CV23+'Financial Statements'!CV17)/('Financial Statements'!CV48+'Financial Statements'!CV51+'Financial Statements'!CV53),"N/A ")</f>
        <v>N/A </v>
      </c>
      <c r="CW60" s="157" t="str">
        <f>IF(CW2&lt;='Enter and Change Data Here'!$G$26,('Financial Statements'!CX25+'Financial Statements'!CX22+'Financial Statements'!CX23+'Financial Statements'!CX17)/('Financial Statements'!CX48+'Financial Statements'!CX51+'Financial Statements'!CX53),"N/A ")</f>
        <v>N/A </v>
      </c>
      <c r="CX60" s="156"/>
      <c r="CY60" s="157" t="str">
        <f>IF(CY2&lt;='Enter and Change Data Here'!$G$26,('Financial Statements'!CZ25+'Financial Statements'!CZ22+'Financial Statements'!CZ23+'Financial Statements'!CZ17)/('Financial Statements'!CZ48+'Financial Statements'!CZ51+'Financial Statements'!CZ53),"N/A ")</f>
        <v>N/A </v>
      </c>
      <c r="CZ60" s="156"/>
      <c r="DA60" s="157" t="str">
        <f>IF(DA2&lt;='Enter and Change Data Here'!$G$26,('Financial Statements'!DB25+'Financial Statements'!DB22+'Financial Statements'!DB23+'Financial Statements'!DB17)/('Financial Statements'!DB48+'Financial Statements'!DB51+'Financial Statements'!DB53),"N/A ")</f>
        <v>N/A </v>
      </c>
      <c r="DB60" s="156"/>
      <c r="DC60" s="157" t="str">
        <f>IF(DC2&lt;='Enter and Change Data Here'!$G$26,('Financial Statements'!DD25+'Financial Statements'!DD22+'Financial Statements'!DD23+'Financial Statements'!DD17)/('Financial Statements'!DD48+'Financial Statements'!DD51+'Financial Statements'!DD53),"N/A ")</f>
        <v>N/A </v>
      </c>
      <c r="DD60" s="156"/>
      <c r="DE60" s="157" t="str">
        <f>IF(DE2&lt;='Enter and Change Data Here'!$G$26,('Financial Statements'!DF25+'Financial Statements'!DF22+'Financial Statements'!DF23+'Financial Statements'!DF17)/('Financial Statements'!DF48+'Financial Statements'!DF51+'Financial Statements'!DF53),"N/A ")</f>
        <v>N/A </v>
      </c>
      <c r="DF60" s="204"/>
      <c r="DG60" s="222">
        <f>AVERAGE(K60:DE60)</f>
        <v>0.0950948598689099</v>
      </c>
      <c r="DH60" s="204"/>
    </row>
    <row r="61" spans="2:112" ht="12.75">
      <c r="B61" s="3"/>
      <c r="C61" s="27" t="s">
        <v>207</v>
      </c>
      <c r="D61" s="2"/>
      <c r="E61" s="2"/>
      <c r="F61" s="2"/>
      <c r="G61" s="31" t="s">
        <v>229</v>
      </c>
      <c r="H61" s="32"/>
      <c r="I61" s="207">
        <f>IF('Enter and Change Data Here'!$G$30=100,AVERAGE('Cash Flow'!K61:DE61),IF('Enter and Change Data Here'!$G$31=100,AVERAGE('Cash Flow'!M61:DE61),IF('Enter and Change Data Here'!$G$32=100,AVERAGE('Cash Flow'!O61:DE61,AVERAGE('Cash Flow'!Q61:DE61)))))</f>
        <v>0.048575710481758794</v>
      </c>
      <c r="J61" s="2"/>
      <c r="K61" s="157">
        <f>IF(K2&lt;='Enter and Change Data Here'!$G$26,('Financial Statements'!L25+(1-'Enter and Change Data Here'!$O$118/100)*('Financial Statements'!L17+'Financial Statements'!L18))/('Financial Statements'!L48+'Financial Statements'!L51+'Financial Statements'!L53),"N/A ")</f>
        <v>0.04510168031840134</v>
      </c>
      <c r="L61" s="156"/>
      <c r="M61" s="157">
        <f>IF(M2&lt;='Enter and Change Data Here'!$G$26,('Financial Statements'!N25+(1-'Enter and Change Data Here'!$O$118/100)*('Financial Statements'!N17+'Financial Statements'!N18))/('Financial Statements'!N48+'Financial Statements'!N51+'Financial Statements'!N53),"N/A ")</f>
        <v>0.055364580941923904</v>
      </c>
      <c r="N61" s="156"/>
      <c r="O61" s="157">
        <f>IF(O2&lt;='Enter and Change Data Here'!$G$26,('Financial Statements'!P25+(1-'Enter and Change Data Here'!$O$118/100)*('Financial Statements'!P17+'Financial Statements'!P18))/('Financial Statements'!P48+'Financial Statements'!P51+'Financial Statements'!P53),"N/A ")</f>
        <v>0.05948615216941638</v>
      </c>
      <c r="P61" s="156"/>
      <c r="Q61" s="157">
        <f>IF(Q2&lt;='Enter and Change Data Here'!$G$26,('Financial Statements'!R25+(1-'Enter and Change Data Here'!$O$118/100)*('Financial Statements'!R17+'Financial Statements'!R18))/('Financial Statements'!R48+'Financial Statements'!R51+'Financial Statements'!R53),"N/A ")</f>
        <v>0.05811409190969939</v>
      </c>
      <c r="R61" s="156"/>
      <c r="S61" s="157">
        <f>IF(S2&lt;='Enter and Change Data Here'!$G$26,('Financial Statements'!T25+(1-'Enter and Change Data Here'!$O$118/100)*('Financial Statements'!T17+'Financial Statements'!T18))/('Financial Statements'!T48+'Financial Statements'!T51+'Financial Statements'!T53),"N/A ")</f>
        <v>0.05674725182937582</v>
      </c>
      <c r="T61" s="156"/>
      <c r="U61" s="157">
        <f>IF(U2&lt;='Enter and Change Data Here'!$G$26,('Financial Statements'!V25+(1-'Enter and Change Data Here'!$O$118/100)*('Financial Statements'!V17+'Financial Statements'!V18))/('Financial Statements'!V48+'Financial Statements'!V51+'Financial Statements'!V53),"N/A ")</f>
        <v>0.055390554072338616</v>
      </c>
      <c r="V61" s="156"/>
      <c r="W61" s="157">
        <f>IF(W2&lt;='Enter and Change Data Here'!$G$26,('Financial Statements'!X25+(1-'Enter and Change Data Here'!$O$118/100)*('Financial Statements'!X17+'Financial Statements'!X18))/('Financial Statements'!X48+'Financial Statements'!X51+'Financial Statements'!X53),"N/A ")</f>
        <v>0.05404833754748768</v>
      </c>
      <c r="X61" s="156"/>
      <c r="Y61" s="157">
        <f>IF(Y2&lt;='Enter and Change Data Here'!$G$26,('Financial Statements'!Z25+(1-'Enter and Change Data Here'!$O$118/100)*('Financial Statements'!Z17+'Financial Statements'!Z18))/('Financial Statements'!Z48+'Financial Statements'!Z51+'Financial Statements'!Z53),"N/A ")</f>
        <v>0.05272438956729518</v>
      </c>
      <c r="Z61" s="156"/>
      <c r="AA61" s="157">
        <f>IF(AA2&lt;='Enter and Change Data Here'!$G$26,('Financial Statements'!AB25+(1-'Enter and Change Data Here'!$O$118/100)*('Financial Statements'!AB17+'Financial Statements'!AB18))/('Financial Statements'!AB48+'Financial Statements'!AB51+'Financial Statements'!AB53),"N/A ")</f>
        <v>0.05142326609938819</v>
      </c>
      <c r="AB61" s="156"/>
      <c r="AC61" s="157">
        <f>IF(AC2&lt;='Enter and Change Data Here'!$G$26,('Financial Statements'!AD25+(1-'Enter and Change Data Here'!$O$118/100)*('Financial Statements'!AD17+'Financial Statements'!AD18))/('Financial Statements'!AD48+'Financial Statements'!AD51+'Financial Statements'!AD53),"N/A ")</f>
        <v>0.0501730135399332</v>
      </c>
      <c r="AD61" s="32"/>
      <c r="AE61" s="157">
        <f>IF(AE2&lt;='Enter and Change Data Here'!$G$26,('Financial Statements'!AF25+(1-'Enter and Change Data Here'!$O$118/100)*('Financial Statements'!AF17+'Financial Statements'!AF18))/('Financial Statements'!AF48+'Financial Statements'!AF51+'Financial Statements'!AF53),"N/A ")</f>
        <v>0.048972530574012726</v>
      </c>
      <c r="AF61" s="156"/>
      <c r="AG61" s="157">
        <f>IF(AG2&lt;='Enter and Change Data Here'!$G$26,('Financial Statements'!AH25+(1-'Enter and Change Data Here'!$O$118/100)*('Financial Statements'!AH17+'Financial Statements'!AH18))/('Financial Statements'!AH48+'Financial Statements'!AH51+'Financial Statements'!AH53),"N/A ")</f>
        <v>0.04782069541991918</v>
      </c>
      <c r="AH61" s="156"/>
      <c r="AI61" s="157">
        <f>IF(AI2&lt;='Enter and Change Data Here'!$G$26,('Financial Statements'!AJ25+(1-'Enter and Change Data Here'!$O$118/100)*('Financial Statements'!AJ17+'Financial Statements'!AJ18))/('Financial Statements'!AJ48+'Financial Statements'!AJ51+'Financial Statements'!AJ53),"N/A ")</f>
        <v>0.046716384294157684</v>
      </c>
      <c r="AJ61" s="156"/>
      <c r="AK61" s="157">
        <f>IF(AK2&lt;='Enter and Change Data Here'!$G$26,('Financial Statements'!AL25+(1-'Enter and Change Data Here'!$O$118/100)*('Financial Statements'!AL17+'Financial Statements'!AL18))/('Financial Statements'!AL48+'Financial Statements'!AL51+'Financial Statements'!AL53),"N/A ")</f>
        <v>0.04565848751707898</v>
      </c>
      <c r="AL61" s="156"/>
      <c r="AM61" s="157">
        <f>IF(AM2&lt;='Enter and Change Data Here'!$G$26,('Financial Statements'!AN25+(1-'Enter and Change Data Here'!$O$118/100)*('Financial Statements'!AN17+'Financial Statements'!AN18))/('Financial Statements'!AN48+'Financial Statements'!AN51+'Financial Statements'!AN53),"N/A ")</f>
        <v>0.044645923643527534</v>
      </c>
      <c r="AO61" s="157">
        <f>IF(AO2&lt;='Enter and Change Data Here'!$G$26,('Financial Statements'!AP25+(1-'Enter and Change Data Here'!$O$118/100)*('Financial Statements'!AP17+'Financial Statements'!AP18))/('Financial Statements'!AP48+'Financial Statements'!AP51+'Financial Statements'!AP53),"N/A ")</f>
        <v>0.04367765197630159</v>
      </c>
      <c r="AP61" s="156"/>
      <c r="AQ61" s="157">
        <f>IF(AQ2&lt;='Enter and Change Data Here'!$G$26,('Financial Statements'!AR25+(1-'Enter and Change Data Here'!$O$118/100)*('Financial Statements'!AR17+'Financial Statements'!AR18))/('Financial Statements'!AR48+'Financial Statements'!AR51+'Financial Statements'!AR53),"N/A ")</f>
        <v>0.04275268379699894</v>
      </c>
      <c r="AR61" s="156"/>
      <c r="AS61" s="157">
        <f>IF(AS2&lt;='Enter and Change Data Here'!$G$26,('Financial Statements'!AT25+(1-'Enter and Change Data Here'!$O$118/100)*('Financial Statements'!AT17+'Financial Statements'!AT18))/('Financial Statements'!AT48+'Financial Statements'!AT51+'Financial Statements'!AT53),"N/A ")</f>
        <v>0.04187009262984838</v>
      </c>
      <c r="AT61" s="156"/>
      <c r="AU61" s="157">
        <f>IF(AU2&lt;='Enter and Change Data Here'!$G$26,('Financial Statements'!AV25+(1-'Enter and Change Data Here'!$O$118/100)*('Financial Statements'!AV17+'Financial Statements'!AV18))/('Financial Statements'!AV48+'Financial Statements'!AV51+'Financial Statements'!AV53),"N/A ")</f>
        <v>0.04102902384020072</v>
      </c>
      <c r="AV61" s="156"/>
      <c r="AW61" s="157">
        <f>IF(AW2&lt;='Enter and Change Data Here'!$G$26,('Financial Statements'!AX25+(1-'Enter and Change Data Here'!$O$118/100)*('Financial Statements'!AX17+'Financial Statements'!AX18))/('Financial Statements'!AX48+'Financial Statements'!AX51+'Financial Statements'!AX53),"N/A ")</f>
        <v>0.04022870386124914</v>
      </c>
      <c r="AX61" s="32"/>
      <c r="AY61" s="157">
        <f>IF(AY2&lt;='Enter and Change Data Here'!$G$26,('Financial Statements'!AZ25+(1-'Enter and Change Data Here'!$O$118/100)*('Financial Statements'!AZ17+'Financial Statements'!AZ18))/('Financial Statements'!AZ48+'Financial Statements'!AZ51+'Financial Statements'!AZ53),"N/A ")</f>
        <v>0.052415064045293905</v>
      </c>
      <c r="AZ61" s="156"/>
      <c r="BA61" s="157">
        <f>IF(BA2&lt;='Enter and Change Data Here'!$G$26,('Financial Statements'!BB25+(1-'Enter and Change Data Here'!$O$118/100)*('Financial Statements'!BB17+'Financial Statements'!BB18))/('Financial Statements'!BB48+'Financial Statements'!BB51+'Financial Statements'!BB53),"N/A ")</f>
        <v>0.04957109408089903</v>
      </c>
      <c r="BB61" s="156"/>
      <c r="BC61" s="157">
        <f>IF(BC2&lt;='Enter and Change Data Here'!$G$26,('Financial Statements'!BD25+(1-'Enter and Change Data Here'!$O$118/100)*('Financial Statements'!BD17+'Financial Statements'!BD18))/('Financial Statements'!BD48+'Financial Statements'!BD51+'Financial Statements'!BD53),"N/A ")</f>
        <v>0.04700615255110067</v>
      </c>
      <c r="BD61" s="156"/>
      <c r="BE61" s="157">
        <f>IF(BE2&lt;='Enter and Change Data Here'!$G$26,('Financial Statements'!BF25+(1-'Enter and Change Data Here'!$O$118/100)*('Financial Statements'!BF17+'Financial Statements'!BF18))/('Financial Statements'!BF48+'Financial Statements'!BF51+'Financial Statements'!BF53),"N/A ")</f>
        <v>0.04468094421241502</v>
      </c>
      <c r="BF61" s="156"/>
      <c r="BG61" s="157">
        <f>IF(BG2&lt;='Enter and Change Data Here'!$G$26,('Financial Statements'!BH25+(1-'Enter and Change Data Here'!$O$118/100)*('Financial Statements'!BH17+'Financial Statements'!BH18))/('Financial Statements'!BH48+'Financial Statements'!BH51+'Financial Statements'!BH53),"N/A ")</f>
        <v>0.04256321893241255</v>
      </c>
      <c r="BH61" s="156"/>
      <c r="BI61" s="157" t="str">
        <f>IF(BI2&lt;='Enter and Change Data Here'!$G$26,('Financial Statements'!BJ25+(1-'Enter and Change Data Here'!$O$118/100)*('Financial Statements'!BJ17+'Financial Statements'!BJ18))/('Financial Statements'!BJ48+'Financial Statements'!BJ51+'Financial Statements'!BJ53),"N/A ")</f>
        <v>N/A </v>
      </c>
      <c r="BJ61" s="156"/>
      <c r="BK61" s="157" t="str">
        <f>IF(BK2&lt;='Enter and Change Data Here'!$G$26,('Financial Statements'!BL25+(1-'Enter and Change Data Here'!$O$118/100)*('Financial Statements'!BL17+'Financial Statements'!BL18))/('Financial Statements'!BL48+'Financial Statements'!BL51+'Financial Statements'!BL53),"N/A ")</f>
        <v>N/A </v>
      </c>
      <c r="BL61" s="156"/>
      <c r="BM61" s="157" t="str">
        <f>IF(BM2&lt;='Enter and Change Data Here'!$G$26,('Financial Statements'!BN25+(1-'Enter and Change Data Here'!$O$118/100)*('Financial Statements'!BN17+'Financial Statements'!BN18))/('Financial Statements'!BN48+'Financial Statements'!BN51+'Financial Statements'!BN53),"N/A ")</f>
        <v>N/A </v>
      </c>
      <c r="BN61" s="156"/>
      <c r="BO61" s="157" t="str">
        <f>IF(BO2&lt;='Enter and Change Data Here'!$G$26,('Financial Statements'!BP25+(1-'Enter and Change Data Here'!$O$118/100)*('Financial Statements'!BP17+'Financial Statements'!BP18))/('Financial Statements'!BP48+'Financial Statements'!BP51+'Financial Statements'!BP53),"N/A ")</f>
        <v>N/A </v>
      </c>
      <c r="BP61" s="156"/>
      <c r="BQ61" s="157" t="str">
        <f>IF(BQ2&lt;='Enter and Change Data Here'!$G$26,('Financial Statements'!BR25+(1-'Enter and Change Data Here'!$O$118/100)*('Financial Statements'!BR17+'Financial Statements'!BR18))/('Financial Statements'!BR48+'Financial Statements'!BR51+'Financial Statements'!BR53),"N/A ")</f>
        <v>N/A </v>
      </c>
      <c r="BR61" s="32"/>
      <c r="BS61" s="157" t="str">
        <f>IF(BS2&lt;='Enter and Change Data Here'!$G$26,('Financial Statements'!BT25+(1-'Enter and Change Data Here'!$O$118/100)*('Financial Statements'!BT17+'Financial Statements'!BT18))/('Financial Statements'!BT48+'Financial Statements'!BT51+'Financial Statements'!BT53),"N/A ")</f>
        <v>N/A </v>
      </c>
      <c r="BT61" s="156"/>
      <c r="BU61" s="157" t="str">
        <f>IF(BU2&lt;='Enter and Change Data Here'!$G$26,('Financial Statements'!BV25+(1-'Enter and Change Data Here'!$O$118/100)*('Financial Statements'!BV17+'Financial Statements'!BV18))/('Financial Statements'!BV48+'Financial Statements'!BV51+'Financial Statements'!BV53),"N/A ")</f>
        <v>N/A </v>
      </c>
      <c r="BV61" s="156"/>
      <c r="BW61" s="157" t="str">
        <f>IF(BW2&lt;='Enter and Change Data Here'!$G$26,('Financial Statements'!BX25+(1-'Enter and Change Data Here'!$O$118/100)*('Financial Statements'!BX17+'Financial Statements'!BX18))/('Financial Statements'!BX48+'Financial Statements'!BX51+'Financial Statements'!BX53),"N/A ")</f>
        <v>N/A </v>
      </c>
      <c r="BX61" s="156"/>
      <c r="BY61" s="157" t="str">
        <f>IF(BY2&lt;='Enter and Change Data Here'!$G$26,('Financial Statements'!BZ25+(1-'Enter and Change Data Here'!$O$118/100)*('Financial Statements'!BZ17+'Financial Statements'!BZ18))/('Financial Statements'!BZ48+'Financial Statements'!BZ51+'Financial Statements'!BZ53),"N/A ")</f>
        <v>N/A </v>
      </c>
      <c r="BZ61" s="156"/>
      <c r="CA61" s="157" t="str">
        <f>IF(CA2&lt;='Enter and Change Data Here'!$G$26,('Financial Statements'!CB25+(1-'Enter and Change Data Here'!$O$118/100)*('Financial Statements'!CB17+'Financial Statements'!CB18))/('Financial Statements'!CB48+'Financial Statements'!CB51+'Financial Statements'!CB53),"N/A ")</f>
        <v>N/A </v>
      </c>
      <c r="CB61" s="156"/>
      <c r="CC61" s="157" t="str">
        <f>IF(CC2&lt;='Enter and Change Data Here'!$G$26,('Financial Statements'!CD25+(1-'Enter and Change Data Here'!$O$118/100)*('Financial Statements'!CD17+'Financial Statements'!CD18))/('Financial Statements'!CD48+'Financial Statements'!CD51+'Financial Statements'!CD53),"N/A ")</f>
        <v>N/A </v>
      </c>
      <c r="CD61" s="156"/>
      <c r="CE61" s="157" t="str">
        <f>IF(CE2&lt;='Enter and Change Data Here'!$G$26,('Financial Statements'!CF25+(1-'Enter and Change Data Here'!$O$118/100)*('Financial Statements'!CF17+'Financial Statements'!CF18))/('Financial Statements'!CF48+'Financial Statements'!CF51+'Financial Statements'!CF53),"N/A ")</f>
        <v>N/A </v>
      </c>
      <c r="CF61" s="156"/>
      <c r="CG61" s="157" t="str">
        <f>IF(CG2&lt;='Enter and Change Data Here'!$G$26,('Financial Statements'!CH25+(1-'Enter and Change Data Here'!$O$118/100)*('Financial Statements'!CH17+'Financial Statements'!CH18))/('Financial Statements'!CH48+'Financial Statements'!CH51+'Financial Statements'!CH53),"N/A ")</f>
        <v>N/A </v>
      </c>
      <c r="CH61" s="156"/>
      <c r="CI61" s="157" t="str">
        <f>IF(CI2&lt;='Enter and Change Data Here'!$G$26,('Financial Statements'!CJ25+(1-'Enter and Change Data Here'!$O$118/100)*('Financial Statements'!CJ17+'Financial Statements'!CJ18))/('Financial Statements'!CJ48+'Financial Statements'!CJ51+'Financial Statements'!CJ53),"N/A ")</f>
        <v>N/A </v>
      </c>
      <c r="CJ61" s="156"/>
      <c r="CK61" s="157" t="str">
        <f>IF(CK2&lt;='Enter and Change Data Here'!$G$26,('Financial Statements'!CL25+(1-'Enter and Change Data Here'!$O$118/100)*('Financial Statements'!CL17+'Financial Statements'!CL18))/('Financial Statements'!CL48+'Financial Statements'!CL51+'Financial Statements'!CL53),"N/A ")</f>
        <v>N/A </v>
      </c>
      <c r="CL61" s="32"/>
      <c r="CM61" s="157" t="str">
        <f>IF(CM2&lt;='Enter and Change Data Here'!$G$26,('Financial Statements'!CN25+(1-'Enter and Change Data Here'!$O$118/100)*('Financial Statements'!CN17+'Financial Statements'!CN18))/('Financial Statements'!CN48+'Financial Statements'!CN51+'Financial Statements'!CN53),"N/A ")</f>
        <v>N/A </v>
      </c>
      <c r="CN61" s="156"/>
      <c r="CO61" s="157" t="str">
        <f>IF(CO2&lt;='Enter and Change Data Here'!$G$26,('Financial Statements'!CP25+(1-'Enter and Change Data Here'!$O$118/100)*('Financial Statements'!CP17+'Financial Statements'!CP18))/('Financial Statements'!CP48+'Financial Statements'!CP51+'Financial Statements'!CP53),"N/A ")</f>
        <v>N/A </v>
      </c>
      <c r="CP61" s="156"/>
      <c r="CQ61" s="157" t="str">
        <f>IF(CQ2&lt;='Enter and Change Data Here'!$G$26,('Financial Statements'!CR25+(1-'Enter and Change Data Here'!$O$118/100)*('Financial Statements'!CR17+'Financial Statements'!CR18))/('Financial Statements'!CR48+'Financial Statements'!CR51+'Financial Statements'!CR53),"N/A ")</f>
        <v>N/A </v>
      </c>
      <c r="CR61" s="156"/>
      <c r="CS61" s="157" t="str">
        <f>IF(CS2&lt;='Enter and Change Data Here'!$G$26,('Financial Statements'!CT25+(1-'Enter and Change Data Here'!$O$118/100)*('Financial Statements'!CT17+'Financial Statements'!CT18))/('Financial Statements'!CT48+'Financial Statements'!CT51+'Financial Statements'!CT53),"N/A ")</f>
        <v>N/A </v>
      </c>
      <c r="CT61" s="156"/>
      <c r="CU61" s="157" t="str">
        <f>IF(CU2&lt;='Enter and Change Data Here'!$G$26,('Financial Statements'!CV25+(1-'Enter and Change Data Here'!$O$118/100)*('Financial Statements'!CV17+'Financial Statements'!CV18))/('Financial Statements'!CV48+'Financial Statements'!CV51+'Financial Statements'!CV53),"N/A ")</f>
        <v>N/A </v>
      </c>
      <c r="CW61" s="157" t="str">
        <f>IF(CW2&lt;='Enter and Change Data Here'!$G$26,('Financial Statements'!CX25+(1-'Enter and Change Data Here'!$O$118/100)*('Financial Statements'!CX17+'Financial Statements'!CX18))/('Financial Statements'!CX48+'Financial Statements'!CX51+'Financial Statements'!CX53),"N/A ")</f>
        <v>N/A </v>
      </c>
      <c r="CX61" s="156"/>
      <c r="CY61" s="157" t="str">
        <f>IF(CY2&lt;='Enter and Change Data Here'!$G$26,('Financial Statements'!CZ25+(1-'Enter and Change Data Here'!$O$118/100)*('Financial Statements'!CZ17+'Financial Statements'!CZ18))/('Financial Statements'!CZ48+'Financial Statements'!CZ51+'Financial Statements'!CZ53),"N/A ")</f>
        <v>N/A </v>
      </c>
      <c r="CZ61" s="156"/>
      <c r="DA61" s="157" t="str">
        <f>IF(DA2&lt;='Enter and Change Data Here'!$G$26,('Financial Statements'!DB25+(1-'Enter and Change Data Here'!$O$118/100)*('Financial Statements'!DB17+'Financial Statements'!DB18))/('Financial Statements'!DB48+'Financial Statements'!DB51+'Financial Statements'!DB53),"N/A ")</f>
        <v>N/A </v>
      </c>
      <c r="DB61" s="156"/>
      <c r="DC61" s="157" t="str">
        <f>IF(DC2&lt;='Enter and Change Data Here'!$G$26,('Financial Statements'!DD25+(1-'Enter and Change Data Here'!$O$118/100)*('Financial Statements'!DD17+'Financial Statements'!DD18))/('Financial Statements'!DD48+'Financial Statements'!DD51+'Financial Statements'!DD53),"N/A ")</f>
        <v>N/A </v>
      </c>
      <c r="DD61" s="156"/>
      <c r="DE61" s="157" t="str">
        <f>IF(DE2&lt;='Enter and Change Data Here'!$G$26,('Financial Statements'!DF25+(1-'Enter and Change Data Here'!$O$118/100)*('Financial Statements'!DF17+'Financial Statements'!DF18))/('Financial Statements'!DF48+'Financial Statements'!DF51+'Financial Statements'!DF53),"N/A ")</f>
        <v>N/A </v>
      </c>
      <c r="DF61" s="204"/>
      <c r="DG61" s="222">
        <f>AVERAGE(K61:DE61)</f>
        <v>0.04872727877482703</v>
      </c>
      <c r="DH61" s="204"/>
    </row>
    <row r="62" spans="2:112" ht="12.75">
      <c r="B62" s="3"/>
      <c r="C62" s="27" t="s">
        <v>208</v>
      </c>
      <c r="D62" s="2"/>
      <c r="E62" s="2"/>
      <c r="F62" s="2"/>
      <c r="G62" s="31" t="s">
        <v>229</v>
      </c>
      <c r="H62" s="32"/>
      <c r="I62" s="207">
        <f>IF('Enter and Change Data Here'!$G$30=100,AVERAGE('Cash Flow'!K62:DE62),IF('Enter and Change Data Here'!$G$31=100,AVERAGE('Cash Flow'!M62:DE62),IF('Enter and Change Data Here'!$G$32=100,AVERAGE('Cash Flow'!O62:DE62,AVERAGE('Cash Flow'!Q62:DE62)))))</f>
        <v>0.05790469593891121</v>
      </c>
      <c r="J62" s="2"/>
      <c r="K62" s="157">
        <f>IF(K2&lt;='Enter and Change Data Here'!$G$26,'Financial Statements'!L25/('Financial Statements'!L51+'Financial Statements'!L53),"N/A ")</f>
        <v>0.03883965144379536</v>
      </c>
      <c r="L62" s="156"/>
      <c r="M62" s="157">
        <f>IF(M2&lt;='Enter and Change Data Here'!$G$26,'Financial Statements'!N25/('Financial Statements'!N51+'Financial Statements'!N53),"N/A ")</f>
        <v>0.057145750626529636</v>
      </c>
      <c r="N62" s="156"/>
      <c r="O62" s="157">
        <f>IF(O2&lt;='Enter and Change Data Here'!$G$26,'Financial Statements'!P25/('Financial Statements'!P51+'Financial Statements'!P53),"N/A ")</f>
        <v>0.06508074544305878</v>
      </c>
      <c r="P62" s="156"/>
      <c r="Q62" s="157">
        <f>IF(Q2&lt;='Enter and Change Data Here'!$G$26,'Financial Statements'!R25/('Financial Statements'!R51+'Financial Statements'!R53),"N/A ")</f>
        <v>0.06437854185184365</v>
      </c>
      <c r="R62" s="156"/>
      <c r="S62" s="157">
        <f>IF(S2&lt;='Enter and Change Data Here'!$G$26,'Financial Statements'!T25/('Financial Statements'!T51+'Financial Statements'!T53),"N/A ")</f>
        <v>0.06365933905787381</v>
      </c>
      <c r="T62" s="156"/>
      <c r="U62" s="157">
        <f>IF(U2&lt;='Enter and Change Data Here'!$G$26,'Financial Statements'!V25/('Financial Statements'!V51+'Financial Statements'!V53),"N/A ")</f>
        <v>0.0629317890385035</v>
      </c>
      <c r="V62" s="156"/>
      <c r="W62" s="157">
        <f>IF(W2&lt;='Enter and Change Data Here'!$G$26,'Financial Statements'!X25/('Financial Statements'!X51+'Financial Statements'!X53),"N/A ")</f>
        <v>0.06220307034343117</v>
      </c>
      <c r="X62" s="156"/>
      <c r="Y62" s="157">
        <f>IF(Y2&lt;='Enter and Change Data Here'!$G$26,'Financial Statements'!Z25/('Financial Statements'!Z51+'Financial Statements'!Z53),"N/A ")</f>
        <v>0.06147911911779362</v>
      </c>
      <c r="Z62" s="156"/>
      <c r="AA62" s="157">
        <f>IF(AA2&lt;='Enter and Change Data Here'!$G$26,'Financial Statements'!AB25/('Financial Statements'!AB51+'Financial Statements'!AB53),"N/A ")</f>
        <v>0.06073444441171244</v>
      </c>
      <c r="AB62" s="156"/>
      <c r="AC62" s="157">
        <f>IF(AC2&lt;='Enter and Change Data Here'!$G$26,'Financial Statements'!AD25/('Financial Statements'!AD51+'Financial Statements'!AD53),"N/A ")</f>
        <v>0.05940621478946439</v>
      </c>
      <c r="AD62" s="32"/>
      <c r="AE62" s="157">
        <f>IF(AE2&lt;='Enter and Change Data Here'!$G$26,'Financial Statements'!AF25/('Financial Statements'!AF51+'Financial Statements'!AF53),"N/A ")</f>
        <v>0.058176643237433545</v>
      </c>
      <c r="AF62" s="156"/>
      <c r="AG62" s="157">
        <f>IF(AG2&lt;='Enter and Change Data Here'!$G$26,'Financial Statements'!AH25/('Financial Statements'!AH51+'Financial Statements'!AH53),"N/A ")</f>
        <v>0.05703788963610082</v>
      </c>
      <c r="AH62" s="156"/>
      <c r="AI62" s="157">
        <f>IF(AI2&lt;='Enter and Change Data Here'!$G$26,'Financial Statements'!AJ25/('Financial Statements'!AJ51+'Financial Statements'!AJ53),"N/A ")</f>
        <v>0.055983137693276466</v>
      </c>
      <c r="AJ62" s="156"/>
      <c r="AK62" s="157">
        <f>IF(AK2&lt;='Enter and Change Data Here'!$G$26,'Financial Statements'!AL25/('Financial Statements'!AL51+'Financial Statements'!AL53),"N/A ")</f>
        <v>0.05500644353475954</v>
      </c>
      <c r="AL62" s="156"/>
      <c r="AM62" s="157">
        <f>IF(AM2&lt;='Enter and Change Data Here'!$G$26,'Financial Statements'!AN25/('Financial Statements'!AN51+'Financial Statements'!AN53),"N/A ")</f>
        <v>0.05410261074598642</v>
      </c>
      <c r="AO62" s="157">
        <f>IF(AO2&lt;='Enter and Change Data Here'!$G$26,'Financial Statements'!AP25/('Financial Statements'!AP51+'Financial Statements'!AP53),"N/A ")</f>
        <v>0.053267086533705744</v>
      </c>
      <c r="AP62" s="156"/>
      <c r="AQ62" s="157">
        <f>IF(AQ2&lt;='Enter and Change Data Here'!$G$26,'Financial Statements'!AR25/('Financial Statements'!AR51+'Financial Statements'!AR53),"N/A ")</f>
        <v>0.05249587485922374</v>
      </c>
      <c r="AR62" s="156"/>
      <c r="AS62" s="157">
        <f>IF(AS2&lt;='Enter and Change Data Here'!$G$26,'Financial Statements'!AT25/('Financial Statements'!AT51+'Financial Statements'!AT53),"N/A ")</f>
        <v>0.05178546328877728</v>
      </c>
      <c r="AT62" s="156"/>
      <c r="AU62" s="157">
        <f>IF(AU2&lt;='Enter and Change Data Here'!$G$26,'Financial Statements'!AV25/('Financial Statements'!AV51+'Financial Statements'!AV53),"N/A ")</f>
        <v>0.051132760988334094</v>
      </c>
      <c r="AV62" s="156"/>
      <c r="AW62" s="157">
        <f>IF(AW2&lt;='Enter and Change Data Here'!$G$26,'Financial Statements'!AX25/('Financial Statements'!AX51+'Financial Statements'!AX53),"N/A ")</f>
        <v>0.05053504581425417</v>
      </c>
      <c r="AX62" s="32"/>
      <c r="AY62" s="157">
        <f>IF(AY2&lt;='Enter and Change Data Here'!$G$26,'Financial Statements'!AZ25/('Financial Statements'!AZ51+'Financial Statements'!AZ53),"N/A ")</f>
        <v>0.06365124905661435</v>
      </c>
      <c r="AZ62" s="156"/>
      <c r="BA62" s="157">
        <f>IF(BA2&lt;='Enter and Change Data Here'!$G$26,'Financial Statements'!BB25/('Financial Statements'!BB51+'Financial Statements'!BB53),"N/A ")</f>
        <v>0.06084100205622416</v>
      </c>
      <c r="BB62" s="156"/>
      <c r="BC62" s="157">
        <f>IF(BC2&lt;='Enter and Change Data Here'!$G$26,'Financial Statements'!BD25/('Financial Statements'!BD51+'Financial Statements'!BD53),"N/A ")</f>
        <v>0.05830647485286611</v>
      </c>
      <c r="BD62" s="156"/>
      <c r="BE62" s="157">
        <f>IF(BE2&lt;='Enter and Change Data Here'!$G$26,'Financial Statements'!BF25/('Financial Statements'!BF51+'Financial Statements'!BF53),"N/A ")</f>
        <v>0.05600883815456014</v>
      </c>
      <c r="BF62" s="156"/>
      <c r="BG62" s="157">
        <f>IF(BG2&lt;='Enter and Change Data Here'!$G$26,'Financial Statements'!BH25/('Financial Statements'!BH51+'Financial Statements'!BH53),"N/A ")</f>
        <v>0.053916224241514224</v>
      </c>
      <c r="BH62" s="156"/>
      <c r="BI62" s="157" t="str">
        <f>IF(BI2&lt;='Enter and Change Data Here'!$G$26,'Financial Statements'!BJ25/('Financial Statements'!BJ51+'Financial Statements'!BJ53),"N/A ")</f>
        <v>N/A </v>
      </c>
      <c r="BJ62" s="156"/>
      <c r="BK62" s="157" t="str">
        <f>IF(BK2&lt;='Enter and Change Data Here'!$G$26,'Financial Statements'!BL25/('Financial Statements'!BL51+'Financial Statements'!BL53),"N/A ")</f>
        <v>N/A </v>
      </c>
      <c r="BL62" s="156"/>
      <c r="BM62" s="157" t="str">
        <f>IF(BM2&lt;='Enter and Change Data Here'!$G$26,'Financial Statements'!BN25/('Financial Statements'!BN51+'Financial Statements'!BN53),"N/A ")</f>
        <v>N/A </v>
      </c>
      <c r="BN62" s="156"/>
      <c r="BO62" s="157" t="str">
        <f>IF(BO2&lt;='Enter and Change Data Here'!$G$26,'Financial Statements'!BP25/('Financial Statements'!BP51+'Financial Statements'!BP53),"N/A ")</f>
        <v>N/A </v>
      </c>
      <c r="BP62" s="156"/>
      <c r="BQ62" s="157" t="str">
        <f>IF(BQ2&lt;='Enter and Change Data Here'!$G$26,'Financial Statements'!BR25/('Financial Statements'!BR51+'Financial Statements'!BR53),"N/A ")</f>
        <v>N/A </v>
      </c>
      <c r="BR62" s="32"/>
      <c r="BS62" s="157" t="str">
        <f>IF(BS2&lt;='Enter and Change Data Here'!$G$26,'Financial Statements'!BT25/('Financial Statements'!BT51+'Financial Statements'!BT53),"N/A ")</f>
        <v>N/A </v>
      </c>
      <c r="BT62" s="156"/>
      <c r="BU62" s="157" t="str">
        <f>IF(BU2&lt;='Enter and Change Data Here'!$G$26,'Financial Statements'!BV25/('Financial Statements'!BV51+'Financial Statements'!BV53),"N/A ")</f>
        <v>N/A </v>
      </c>
      <c r="BV62" s="156"/>
      <c r="BW62" s="157" t="str">
        <f>IF(BW2&lt;='Enter and Change Data Here'!$G$26,'Financial Statements'!BX25/('Financial Statements'!BX51+'Financial Statements'!BX53),"N/A ")</f>
        <v>N/A </v>
      </c>
      <c r="BX62" s="156"/>
      <c r="BY62" s="157" t="str">
        <f>IF(BY2&lt;='Enter and Change Data Here'!$G$26,'Financial Statements'!BZ25/('Financial Statements'!BZ51+'Financial Statements'!BZ53),"N/A ")</f>
        <v>N/A </v>
      </c>
      <c r="BZ62" s="156"/>
      <c r="CA62" s="157" t="str">
        <f>IF(CA2&lt;='Enter and Change Data Here'!$G$26,'Financial Statements'!CB25/('Financial Statements'!CB51+'Financial Statements'!CB53),"N/A ")</f>
        <v>N/A </v>
      </c>
      <c r="CB62" s="156"/>
      <c r="CC62" s="157" t="str">
        <f>IF(CC2&lt;='Enter and Change Data Here'!$G$26,'Financial Statements'!CD25/('Financial Statements'!CD51+'Financial Statements'!CD53),"N/A ")</f>
        <v>N/A </v>
      </c>
      <c r="CD62" s="156"/>
      <c r="CE62" s="157" t="str">
        <f>IF(CE2&lt;='Enter and Change Data Here'!$G$26,'Financial Statements'!CF25/('Financial Statements'!CF51+'Financial Statements'!CF53),"N/A ")</f>
        <v>N/A </v>
      </c>
      <c r="CF62" s="156"/>
      <c r="CG62" s="157" t="str">
        <f>IF(CG2&lt;='Enter and Change Data Here'!$G$26,'Financial Statements'!CH25/('Financial Statements'!CH51+'Financial Statements'!CH53),"N/A ")</f>
        <v>N/A </v>
      </c>
      <c r="CH62" s="156"/>
      <c r="CI62" s="157" t="str">
        <f>IF(CI2&lt;='Enter and Change Data Here'!$G$26,'Financial Statements'!CJ25/('Financial Statements'!CJ51+'Financial Statements'!CJ53),"N/A ")</f>
        <v>N/A </v>
      </c>
      <c r="CJ62" s="156"/>
      <c r="CK62" s="157" t="str">
        <f>IF(CK2&lt;='Enter and Change Data Here'!$G$26,'Financial Statements'!CL25/('Financial Statements'!CL51+'Financial Statements'!CL53),"N/A ")</f>
        <v>N/A </v>
      </c>
      <c r="CL62" s="32"/>
      <c r="CM62" s="157" t="str">
        <f>IF(CM2&lt;='Enter and Change Data Here'!$G$26,'Financial Statements'!CN25/('Financial Statements'!CN51+'Financial Statements'!CN53),"N/A ")</f>
        <v>N/A </v>
      </c>
      <c r="CN62" s="156"/>
      <c r="CO62" s="157" t="str">
        <f>IF(CO2&lt;='Enter and Change Data Here'!$G$26,'Financial Statements'!CP25/('Financial Statements'!CP51+'Financial Statements'!CP53),"N/A ")</f>
        <v>N/A </v>
      </c>
      <c r="CP62" s="156"/>
      <c r="CQ62" s="157" t="str">
        <f>IF(CQ2&lt;='Enter and Change Data Here'!$G$26,'Financial Statements'!CR25/('Financial Statements'!CR51+'Financial Statements'!CR53),"N/A ")</f>
        <v>N/A </v>
      </c>
      <c r="CR62" s="156"/>
      <c r="CS62" s="157" t="str">
        <f>IF(CS2&lt;='Enter and Change Data Here'!$G$26,'Financial Statements'!CT25/('Financial Statements'!CT51+'Financial Statements'!CT53),"N/A ")</f>
        <v>N/A </v>
      </c>
      <c r="CT62" s="156"/>
      <c r="CU62" s="157" t="str">
        <f>IF(CU2&lt;='Enter and Change Data Here'!$G$26,'Financial Statements'!CV25/('Financial Statements'!CV51+'Financial Statements'!CV53),"N/A ")</f>
        <v>N/A </v>
      </c>
      <c r="CW62" s="157" t="str">
        <f>IF(CW2&lt;='Enter and Change Data Here'!$G$26,'Financial Statements'!CX25/('Financial Statements'!CX51+'Financial Statements'!CX53),"N/A ")</f>
        <v>N/A </v>
      </c>
      <c r="CX62" s="156"/>
      <c r="CY62" s="157" t="str">
        <f>IF(CY2&lt;='Enter and Change Data Here'!$G$26,'Financial Statements'!CZ25/('Financial Statements'!CZ51+'Financial Statements'!CZ53),"N/A ")</f>
        <v>N/A </v>
      </c>
      <c r="CZ62" s="156"/>
      <c r="DA62" s="157" t="str">
        <f>IF(DA2&lt;='Enter and Change Data Here'!$G$26,'Financial Statements'!DB25/('Financial Statements'!DB51+'Financial Statements'!DB53),"N/A ")</f>
        <v>N/A </v>
      </c>
      <c r="DB62" s="156"/>
      <c r="DC62" s="157" t="str">
        <f>IF(DC2&lt;='Enter and Change Data Here'!$G$26,'Financial Statements'!DD25/('Financial Statements'!DD51+'Financial Statements'!DD53),"N/A ")</f>
        <v>N/A </v>
      </c>
      <c r="DD62" s="156"/>
      <c r="DE62" s="157" t="str">
        <f>IF(DE2&lt;='Enter and Change Data Here'!$G$26,'Financial Statements'!DF25/('Financial Statements'!DF51+'Financial Statements'!DF53),"N/A ")</f>
        <v>N/A </v>
      </c>
      <c r="DF62" s="204"/>
      <c r="DG62" s="222">
        <f>AVERAGE(K62:DE62)</f>
        <v>0.05712421643270549</v>
      </c>
      <c r="DH62" s="204"/>
    </row>
    <row r="63" spans="2:112" ht="13.5" thickBot="1">
      <c r="B63" s="4"/>
      <c r="C63" s="2" t="s">
        <v>182</v>
      </c>
      <c r="D63" s="2"/>
      <c r="E63" s="2"/>
      <c r="F63" s="2"/>
      <c r="G63" s="194" t="s">
        <v>227</v>
      </c>
      <c r="H63" s="32"/>
      <c r="I63" s="208">
        <f>IF('Enter and Change Data Here'!$G$30=100,MIN('Cash Flow'!K63:DE63),IF('Enter and Change Data Here'!$G$31=100,MIN('Cash Flow'!M63:DE63),IF('Enter and Change Data Here'!$G$32=100,MIN('Cash Flow'!O63:DE63,MIN('Cash Flow'!Q63:DE63)))))</f>
        <v>0.23544241070109012</v>
      </c>
      <c r="J63" s="2"/>
      <c r="K63" s="157">
        <f>IF(K2&lt;='Enter and Change Data Here'!$G$26,K40/K5,"N/A ")</f>
        <v>0.14864489193710798</v>
      </c>
      <c r="L63" s="156"/>
      <c r="M63" s="157">
        <f>IF(M2&lt;='Enter and Change Data Here'!$G$26,M40/M5,"N/A ")</f>
        <v>0.20548872212340005</v>
      </c>
      <c r="N63" s="156"/>
      <c r="O63" s="157">
        <f>IF(O2&lt;='Enter and Change Data Here'!$G$26,O40/O5,"N/A ")</f>
        <v>0.23544241070109012</v>
      </c>
      <c r="P63" s="156"/>
      <c r="Q63" s="157">
        <f>IF(Q2&lt;='Enter and Change Data Here'!$G$26,Q40/Q5,"N/A ")</f>
        <v>0.2464630198900615</v>
      </c>
      <c r="R63" s="156"/>
      <c r="S63" s="157">
        <f>IF(S2&lt;='Enter and Change Data Here'!$G$26,S40/S5,"N/A ")</f>
        <v>0.2577018272550161</v>
      </c>
      <c r="T63" s="156"/>
      <c r="U63" s="157">
        <f>IF(U2&lt;='Enter and Change Data Here'!$G$26,U40/U5,"N/A ")</f>
        <v>0.2691738534925256</v>
      </c>
      <c r="V63" s="156"/>
      <c r="W63" s="157">
        <f>IF(W2&lt;='Enter and Change Data Here'!$G$26,W40/W5,"N/A ")</f>
        <v>0.2808952760068851</v>
      </c>
      <c r="X63" s="156"/>
      <c r="Y63" s="157">
        <f>IF(Y2&lt;='Enter and Change Data Here'!$G$26,Y40/Y5,"N/A ")</f>
        <v>0.29288352061708894</v>
      </c>
      <c r="Z63" s="156"/>
      <c r="AA63" s="157">
        <f>IF(AA2&lt;='Enter and Change Data Here'!$G$26,AA40/AA5,"N/A ")</f>
        <v>0.3049949110132386</v>
      </c>
      <c r="AB63" s="156"/>
      <c r="AC63" s="157">
        <f>IF(AC2&lt;='Enter and Change Data Here'!$G$26,AC40/AC5,"N/A ")</f>
        <v>0.31402623512821454</v>
      </c>
      <c r="AD63" s="32"/>
      <c r="AE63" s="223">
        <f>IF(AE2&lt;='Enter and Change Data Here'!$G$26,AE40/AE5,"N/A ")</f>
        <v>0.32328970881654273</v>
      </c>
      <c r="AF63" s="156"/>
      <c r="AG63" s="157">
        <f>IF(AG2&lt;='Enter and Change Data Here'!$G$26,AG40/AG5,"N/A ")</f>
        <v>0.33280592788648466</v>
      </c>
      <c r="AH63" s="156"/>
      <c r="AI63" s="157">
        <f>IF(AI2&lt;='Enter and Change Data Here'!$G$26,AI40/AI5,"N/A ")</f>
        <v>0.34259712556441774</v>
      </c>
      <c r="AJ63" s="156"/>
      <c r="AK63" s="157">
        <f>IF(AK2&lt;='Enter and Change Data Here'!$G$26,AK40/AK5,"N/A ")</f>
        <v>0.3526873025135533</v>
      </c>
      <c r="AL63" s="156"/>
      <c r="AM63" s="157">
        <f>IF(AM2&lt;='Enter and Change Data Here'!$G$26,AM40/AM5,"N/A ")</f>
        <v>0.3631023671519726</v>
      </c>
      <c r="AO63" s="157">
        <f>IF(AO2&lt;='Enter and Change Data Here'!$G$26,AO40/AO5,"N/A ")</f>
        <v>0.373870287085798</v>
      </c>
      <c r="AP63" s="156"/>
      <c r="AQ63" s="157">
        <f>IF(AQ2&lt;='Enter and Change Data Here'!$G$26,AQ40/AQ5,"N/A ")</f>
        <v>0.38502125253794006</v>
      </c>
      <c r="AR63" s="156"/>
      <c r="AS63" s="157">
        <f>IF(AS2&lt;='Enter and Change Data Here'!$G$26,AS40/AS5,"N/A ")</f>
        <v>0.3965878527225952</v>
      </c>
      <c r="AT63" s="156"/>
      <c r="AU63" s="157">
        <f>IF(AU2&lt;='Enter and Change Data Here'!$G$26,AU40/AU5,"N/A ")</f>
        <v>0.4086052661909346</v>
      </c>
      <c r="AV63" s="156"/>
      <c r="AW63" s="157">
        <f>IF(AW2&lt;='Enter and Change Data Here'!$G$26,AW40/AW5,"N/A ")</f>
        <v>0.42111146625464396</v>
      </c>
      <c r="AX63" s="32"/>
      <c r="AY63" s="223">
        <f>IF(AY2&lt;='Enter and Change Data Here'!$G$26,AY40/AY5,"N/A ")</f>
        <v>0.5608572318773608</v>
      </c>
      <c r="AZ63" s="156"/>
      <c r="BA63" s="157">
        <f>IF(BA2&lt;='Enter and Change Data Here'!$G$26,BA40/BA5,"N/A ")</f>
        <v>0.5651728026838186</v>
      </c>
      <c r="BB63" s="156"/>
      <c r="BC63" s="157">
        <f>IF(BC2&lt;='Enter and Change Data Here'!$G$26,BC40/BC5,"N/A ")</f>
        <v>0.5694698337133298</v>
      </c>
      <c r="BD63" s="156"/>
      <c r="BE63" s="157">
        <f>IF(BE2&lt;='Enter and Change Data Here'!$G$26,BE40/BE5,"N/A ")</f>
        <v>0.5737480200805766</v>
      </c>
      <c r="BF63" s="156"/>
      <c r="BG63" s="157">
        <f>IF(BG2&lt;='Enter and Change Data Here'!$G$26,BG40/BG5,"N/A ")</f>
        <v>0.5780070536413305</v>
      </c>
      <c r="BH63" s="156"/>
      <c r="BI63" s="157" t="str">
        <f>IF(BI2&lt;='Enter and Change Data Here'!$G$26,BI40/BI5,"N/A ")</f>
        <v>N/A </v>
      </c>
      <c r="BJ63" s="156"/>
      <c r="BK63" s="157" t="str">
        <f>IF(BK2&lt;='Enter and Change Data Here'!$G$26,BK40/BK5,"N/A ")</f>
        <v>N/A </v>
      </c>
      <c r="BL63" s="156"/>
      <c r="BM63" s="157" t="str">
        <f>IF(BM2&lt;='Enter and Change Data Here'!$G$26,BM40/BM5,"N/A ")</f>
        <v>N/A </v>
      </c>
      <c r="BN63" s="156"/>
      <c r="BO63" s="157" t="str">
        <f>IF(BO2&lt;='Enter and Change Data Here'!$G$26,BO40/BO5,"N/A ")</f>
        <v>N/A </v>
      </c>
      <c r="BP63" s="156"/>
      <c r="BQ63" s="157" t="str">
        <f>IF(BQ2&lt;='Enter and Change Data Here'!$G$26,BQ40/BQ5,"N/A ")</f>
        <v>N/A </v>
      </c>
      <c r="BR63" s="32"/>
      <c r="BS63" s="223" t="str">
        <f>IF(BS2&lt;='Enter and Change Data Here'!$G$26,BS40/BS5,"N/A ")</f>
        <v>N/A </v>
      </c>
      <c r="BT63" s="156"/>
      <c r="BU63" s="157" t="str">
        <f>IF(BU2&lt;='Enter and Change Data Here'!$G$26,BU40/BU5,"N/A ")</f>
        <v>N/A </v>
      </c>
      <c r="BV63" s="156"/>
      <c r="BW63" s="157" t="str">
        <f>IF(BW2&lt;='Enter and Change Data Here'!$G$26,BW40/BW5,"N/A ")</f>
        <v>N/A </v>
      </c>
      <c r="BX63" s="156"/>
      <c r="BY63" s="157" t="str">
        <f>IF(BY2&lt;='Enter and Change Data Here'!$G$26,BY40/BY5,"N/A ")</f>
        <v>N/A </v>
      </c>
      <c r="BZ63" s="156"/>
      <c r="CA63" s="157" t="str">
        <f>IF(CA2&lt;='Enter and Change Data Here'!$G$26,CA40/CA5,"N/A ")</f>
        <v>N/A </v>
      </c>
      <c r="CB63" s="156"/>
      <c r="CC63" s="157" t="str">
        <f>IF(CC2&lt;='Enter and Change Data Here'!$G$26,CC40/CC5,"N/A ")</f>
        <v>N/A </v>
      </c>
      <c r="CD63" s="156"/>
      <c r="CE63" s="157" t="str">
        <f>IF(CE2&lt;='Enter and Change Data Here'!$G$26,CE40/CE5,"N/A ")</f>
        <v>N/A </v>
      </c>
      <c r="CF63" s="156"/>
      <c r="CG63" s="157" t="str">
        <f>IF(CG2&lt;='Enter and Change Data Here'!$G$26,CG40/CG5,"N/A ")</f>
        <v>N/A </v>
      </c>
      <c r="CH63" s="156"/>
      <c r="CI63" s="157" t="str">
        <f>IF(CI2&lt;='Enter and Change Data Here'!$G$26,CI40/CI5,"N/A ")</f>
        <v>N/A </v>
      </c>
      <c r="CJ63" s="156"/>
      <c r="CK63" s="157" t="str">
        <f>IF(CK2&lt;='Enter and Change Data Here'!$G$26,CK40/CK5,"N/A ")</f>
        <v>N/A </v>
      </c>
      <c r="CL63" s="32"/>
      <c r="CM63" s="223" t="str">
        <f>IF(CM2&lt;='Enter and Change Data Here'!$G$26,CM40/CM5,"N/A ")</f>
        <v>N/A </v>
      </c>
      <c r="CN63" s="156"/>
      <c r="CO63" s="157" t="str">
        <f>IF(CO2&lt;='Enter and Change Data Here'!$G$26,CO40/CO5,"N/A ")</f>
        <v>N/A </v>
      </c>
      <c r="CP63" s="156"/>
      <c r="CQ63" s="157" t="str">
        <f>IF(CQ2&lt;='Enter and Change Data Here'!$G$26,CQ40/CQ5,"N/A ")</f>
        <v>N/A </v>
      </c>
      <c r="CR63" s="156"/>
      <c r="CS63" s="157" t="str">
        <f>IF(CS2&lt;='Enter and Change Data Here'!$G$26,CS40/CS5,"N/A ")</f>
        <v>N/A </v>
      </c>
      <c r="CT63" s="156"/>
      <c r="CU63" s="157" t="str">
        <f>IF(CU2&lt;='Enter and Change Data Here'!$G$26,CU40/CU5,"N/A ")</f>
        <v>N/A </v>
      </c>
      <c r="CW63" s="157" t="str">
        <f>IF(CW2&lt;='Enter and Change Data Here'!$G$26,CW40/CW5,"N/A ")</f>
        <v>N/A </v>
      </c>
      <c r="CX63" s="156"/>
      <c r="CY63" s="157" t="str">
        <f>IF(CY2&lt;='Enter and Change Data Here'!$G$26,CY40/CY5,"N/A ")</f>
        <v>N/A </v>
      </c>
      <c r="CZ63" s="156"/>
      <c r="DA63" s="157" t="str">
        <f>IF(DA2&lt;='Enter and Change Data Here'!$G$26,DA40/DA5,"N/A ")</f>
        <v>N/A </v>
      </c>
      <c r="DB63" s="156"/>
      <c r="DC63" s="157" t="str">
        <f>IF(DC2&lt;='Enter and Change Data Here'!$G$26,DC40/DC5,"N/A ")</f>
        <v>N/A </v>
      </c>
      <c r="DD63" s="156"/>
      <c r="DE63" s="157" t="str">
        <f>IF(DE2&lt;='Enter and Change Data Here'!$G$26,DE40/DE5,"N/A ")</f>
        <v>N/A </v>
      </c>
      <c r="DF63" s="205"/>
      <c r="DG63" s="223">
        <f>MIN(J63:DE63)</f>
        <v>0.14864489193710798</v>
      </c>
      <c r="DH63" s="205"/>
    </row>
    <row r="64" spans="3:111" ht="12.75">
      <c r="C64" s="18"/>
      <c r="D64" s="18"/>
      <c r="E64" s="18"/>
      <c r="F64" s="18"/>
      <c r="G64" s="18"/>
      <c r="H64" s="174"/>
      <c r="I64" s="22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28"/>
      <c r="AF64" s="18"/>
      <c r="AG64" s="18"/>
      <c r="AH64" s="18"/>
      <c r="AI64" s="18"/>
      <c r="AJ64" s="18"/>
      <c r="AK64" s="18"/>
      <c r="AL64" s="18"/>
      <c r="AM64" s="18"/>
      <c r="AN64" s="174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22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74"/>
      <c r="BS64" s="22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228"/>
      <c r="CN64" s="18"/>
      <c r="CO64" s="18"/>
      <c r="CP64" s="18"/>
      <c r="CQ64" s="18"/>
      <c r="CR64" s="18"/>
      <c r="CS64" s="18"/>
      <c r="CT64" s="18"/>
      <c r="CU64" s="18"/>
      <c r="CV64" s="174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</row>
    <row r="65" ht="12.75">
      <c r="AG65" s="2"/>
    </row>
    <row r="66" ht="12.75">
      <c r="AG66" s="2"/>
    </row>
    <row r="67" ht="12.75">
      <c r="AG67" s="2"/>
    </row>
    <row r="68" ht="12.75">
      <c r="AG68" s="2"/>
    </row>
    <row r="69" ht="12.75">
      <c r="AG69" s="2"/>
    </row>
    <row r="70" ht="12.75">
      <c r="AG70" s="2"/>
    </row>
    <row r="71" ht="12.75">
      <c r="AG71" s="2"/>
    </row>
    <row r="72" ht="12.75">
      <c r="AG72" s="2"/>
    </row>
    <row r="73" ht="12.75">
      <c r="AG73" s="2"/>
    </row>
    <row r="74" ht="12.75">
      <c r="AG74" s="2"/>
    </row>
    <row r="75" ht="12.75">
      <c r="AG75" s="2"/>
    </row>
    <row r="76" ht="12.75">
      <c r="AG76" s="2"/>
    </row>
    <row r="77" ht="12.75">
      <c r="AG77" s="2"/>
    </row>
    <row r="78" ht="12.75">
      <c r="AG78" s="2"/>
    </row>
    <row r="79" ht="12.75">
      <c r="AG79" s="2"/>
    </row>
    <row r="80" ht="12.75">
      <c r="AG80" s="2"/>
    </row>
    <row r="81" ht="12.75">
      <c r="AG81" s="2"/>
    </row>
    <row r="82" ht="12.75">
      <c r="AG82" s="2"/>
    </row>
    <row r="83" ht="12.75">
      <c r="AG83" s="2"/>
    </row>
    <row r="84" ht="12.75">
      <c r="AG84" s="2"/>
    </row>
    <row r="85" ht="12.75">
      <c r="AG85" s="2"/>
    </row>
    <row r="86" ht="12.75">
      <c r="AG86" s="2"/>
    </row>
    <row r="87" ht="12.75">
      <c r="AG87" s="2"/>
    </row>
    <row r="88" ht="12.75">
      <c r="AG88" s="2"/>
    </row>
    <row r="89" ht="12.75">
      <c r="AG89" s="2"/>
    </row>
    <row r="90" ht="12.75">
      <c r="AG90" s="2"/>
    </row>
    <row r="91" ht="12.75">
      <c r="AG91" s="2"/>
    </row>
    <row r="92" ht="12.75">
      <c r="AG92" s="2"/>
    </row>
    <row r="93" ht="12.75">
      <c r="AG93" s="2"/>
    </row>
    <row r="94" ht="12.75">
      <c r="AG94" s="2"/>
    </row>
    <row r="95" ht="12.75">
      <c r="AG95" s="2"/>
    </row>
    <row r="96" ht="12.75">
      <c r="AG96" s="2"/>
    </row>
    <row r="97" ht="12.75">
      <c r="AG97" s="2"/>
    </row>
    <row r="98" ht="12.75">
      <c r="AG98" s="2"/>
    </row>
    <row r="99" ht="12.75">
      <c r="AG99" s="2"/>
    </row>
    <row r="100" ht="12.75">
      <c r="AG100" s="2"/>
    </row>
    <row r="101" ht="12.75">
      <c r="AG101" s="2"/>
    </row>
    <row r="102" ht="12.75">
      <c r="AG102" s="2"/>
    </row>
    <row r="103" ht="12.75">
      <c r="AG103" s="2"/>
    </row>
    <row r="104" ht="12.75">
      <c r="AG104" s="2"/>
    </row>
    <row r="105" ht="12.75">
      <c r="AG105" s="2"/>
    </row>
    <row r="106" ht="12.75">
      <c r="AG106" s="2"/>
    </row>
    <row r="107" ht="12.75">
      <c r="AG107" s="2"/>
    </row>
    <row r="108" ht="12.75">
      <c r="AG108" s="2"/>
    </row>
    <row r="109" ht="12.75">
      <c r="AG109" s="2"/>
    </row>
    <row r="110" ht="12.75">
      <c r="AG110" s="2"/>
    </row>
    <row r="111" ht="12.75">
      <c r="AG111" s="2"/>
    </row>
    <row r="112" ht="12.75">
      <c r="AG112" s="2"/>
    </row>
    <row r="113" ht="12.75">
      <c r="AG113" s="2"/>
    </row>
    <row r="114" ht="12.75">
      <c r="AG114" s="2"/>
    </row>
    <row r="115" ht="12.75">
      <c r="AG115" s="2"/>
    </row>
    <row r="116" ht="12.75">
      <c r="AG116" s="2"/>
    </row>
    <row r="117" ht="12.75">
      <c r="AG117" s="2"/>
    </row>
    <row r="118" ht="12.75">
      <c r="AG118" s="2"/>
    </row>
    <row r="119" ht="12.75">
      <c r="AG119" s="2"/>
    </row>
    <row r="120" ht="12.75">
      <c r="AG120" s="2"/>
    </row>
    <row r="121" ht="12.75">
      <c r="AG121" s="2"/>
    </row>
    <row r="122" ht="12.75">
      <c r="AG122" s="2"/>
    </row>
    <row r="123" ht="12.75">
      <c r="AG123" s="2"/>
    </row>
    <row r="124" ht="12.75">
      <c r="AG124" s="2"/>
    </row>
    <row r="125" ht="12.75">
      <c r="AG125" s="2"/>
    </row>
    <row r="126" ht="12.75">
      <c r="AG126" s="2"/>
    </row>
    <row r="127" ht="12.75">
      <c r="AG127" s="2"/>
    </row>
    <row r="128" ht="12.75">
      <c r="AG128" s="2"/>
    </row>
    <row r="129" ht="12.75">
      <c r="AG129" s="2"/>
    </row>
    <row r="130" ht="12.75">
      <c r="AG130" s="2"/>
    </row>
    <row r="131" ht="12.75">
      <c r="AG131" s="2"/>
    </row>
    <row r="132" ht="12.75">
      <c r="AG132" s="2"/>
    </row>
    <row r="133" ht="12.75">
      <c r="AG133" s="2"/>
    </row>
    <row r="134" ht="12.75">
      <c r="AG134" s="2"/>
    </row>
    <row r="135" ht="12.75">
      <c r="AG135" s="2"/>
    </row>
    <row r="136" ht="12.75">
      <c r="AG136" s="2"/>
    </row>
    <row r="137" ht="12.75">
      <c r="AG137" s="2"/>
    </row>
    <row r="138" ht="12.75">
      <c r="AG138" s="2"/>
    </row>
    <row r="139" ht="12.75">
      <c r="AG139" s="2"/>
    </row>
    <row r="140" ht="12.75">
      <c r="AG140" s="2"/>
    </row>
    <row r="141" ht="12.75">
      <c r="AG141" s="2"/>
    </row>
    <row r="142" ht="12.75">
      <c r="AG142" s="2"/>
    </row>
    <row r="143" ht="12.75">
      <c r="AG143" s="2"/>
    </row>
    <row r="144" ht="12.75">
      <c r="AG144" s="2"/>
    </row>
    <row r="145" ht="12.75">
      <c r="AG145" s="2"/>
    </row>
    <row r="146" ht="12.75">
      <c r="AG146" s="2"/>
    </row>
    <row r="147" ht="12.75">
      <c r="AG147" s="2"/>
    </row>
    <row r="148" ht="12.75">
      <c r="AG148" s="2"/>
    </row>
    <row r="149" ht="12.75">
      <c r="AG149" s="2"/>
    </row>
    <row r="150" ht="12.75">
      <c r="AG150" s="2"/>
    </row>
    <row r="151" ht="12.75">
      <c r="AG151" s="2"/>
    </row>
    <row r="152" ht="12.75">
      <c r="AG152" s="2"/>
    </row>
    <row r="153" ht="12.75">
      <c r="AG153" s="2"/>
    </row>
    <row r="154" ht="12.75">
      <c r="AG154" s="2"/>
    </row>
    <row r="155" ht="12.75">
      <c r="AG155" s="2"/>
    </row>
    <row r="156" ht="12.75">
      <c r="AG156" s="2"/>
    </row>
    <row r="157" ht="12.75">
      <c r="AG157" s="2"/>
    </row>
  </sheetData>
  <sheetProtection sheet="1" objects="1" scenarios="1"/>
  <printOptions/>
  <pageMargins left="0.7086614173228347" right="0.7086614173228347" top="0.7874015748031497" bottom="0.7874015748031497" header="0.5118110236220472" footer="0.5118110236220472"/>
  <pageSetup firstPageNumber="4" useFirstPageNumber="1" horizontalDpi="600" verticalDpi="600" orientation="landscape" scale="60" r:id="rId1"/>
  <headerFooter alignWithMargins="0">
    <oddHeader>&amp;L&amp;"Arial,Bold"&amp;12Wind Turbine Farm Economic Viability Model
</oddHeader>
    <oddFooter>&amp;L&amp;F,  www.vanfm.com&amp;CPage &amp;P&amp;Rby Tom Kingston P.Eng MBA (604) 694-2501</oddFooter>
  </headerFooter>
  <colBreaks count="4" manualBreakCount="4">
    <brk id="30" max="65535" man="1"/>
    <brk id="50" max="65535" man="1"/>
    <brk id="70" max="65535" man="1"/>
    <brk id="9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pane xSplit="8" topLeftCell="I1" activePane="topRight" state="frozen"/>
      <selection pane="topLeft" activeCell="A36" sqref="A36"/>
      <selection pane="topRight" activeCell="A1" sqref="A1"/>
    </sheetView>
  </sheetViews>
  <sheetFormatPr defaultColWidth="9.140625" defaultRowHeight="12.75"/>
  <cols>
    <col min="1" max="1" width="1.8515625" style="0" customWidth="1"/>
    <col min="2" max="3" width="2.7109375" style="0" customWidth="1"/>
    <col min="4" max="4" width="2.7109375" style="2" customWidth="1"/>
    <col min="5" max="5" width="26.8515625" style="2" customWidth="1"/>
    <col min="6" max="6" width="23.8515625" style="2" customWidth="1"/>
    <col min="7" max="7" width="2.421875" style="2" customWidth="1"/>
    <col min="8" max="8" width="2.140625" style="2" customWidth="1"/>
    <col min="9" max="9" width="1.7109375" style="2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1.7109375" style="0" customWidth="1"/>
  </cols>
  <sheetData>
    <row r="1" spans="2:9" s="13" customFormat="1" ht="12.75" customHeight="1">
      <c r="B1" s="64" t="str">
        <f>'Enter and Change Data Here'!$G$7</f>
        <v>Windstorm Power Company</v>
      </c>
      <c r="D1" s="8"/>
      <c r="E1" s="8"/>
      <c r="F1" s="8"/>
      <c r="G1" s="8"/>
      <c r="H1" s="8"/>
      <c r="I1" s="8"/>
    </row>
    <row r="2" spans="1:19" ht="12.75" customHeight="1">
      <c r="A2" s="2"/>
      <c r="B2" s="130" t="s">
        <v>204</v>
      </c>
      <c r="C2" s="130"/>
      <c r="D2" s="130"/>
      <c r="E2" s="130"/>
      <c r="J2" s="139"/>
      <c r="K2" s="2"/>
      <c r="L2" s="139"/>
      <c r="M2" s="2"/>
      <c r="N2" s="139"/>
      <c r="O2" s="2"/>
      <c r="P2" s="139"/>
      <c r="Q2" s="2"/>
      <c r="R2" s="139"/>
      <c r="S2" s="2"/>
    </row>
    <row r="3" spans="2:19" ht="12.75" customHeight="1">
      <c r="B3" s="59"/>
      <c r="J3" s="128">
        <f>'Enter and Change Data Here'!$G$12</f>
        <v>2004</v>
      </c>
      <c r="K3" s="129"/>
      <c r="L3" s="128">
        <f>IF(J3&gt;=$J$3+'Enter and Change Data Here'!$G$26,"",J3+1)</f>
        <v>2005</v>
      </c>
      <c r="M3" s="129"/>
      <c r="N3" s="128">
        <f>IF(L3&gt;=$J$3+'Enter and Change Data Here'!$G$26,"",L3+1)</f>
        <v>2006</v>
      </c>
      <c r="O3" s="129"/>
      <c r="P3" s="128">
        <f>IF(N3&gt;=$J$3+'Enter and Change Data Here'!$G$26,"",N3+1)</f>
        <v>2007</v>
      </c>
      <c r="Q3" s="129"/>
      <c r="R3" s="128">
        <f>IF(P3&gt;=$J$3+'Enter and Change Data Here'!$G$26,"",P3+1)</f>
        <v>2008</v>
      </c>
      <c r="S3" s="129"/>
    </row>
    <row r="4" spans="2:19" ht="12.75" customHeight="1">
      <c r="B4" s="59"/>
      <c r="J4" s="128"/>
      <c r="K4" s="129"/>
      <c r="L4" s="128"/>
      <c r="M4" s="129"/>
      <c r="N4" s="128"/>
      <c r="O4" s="129"/>
      <c r="P4" s="128"/>
      <c r="Q4" s="129"/>
      <c r="R4" s="128"/>
      <c r="S4" s="129"/>
    </row>
    <row r="5" spans="2:19" ht="12.75" customHeight="1">
      <c r="B5" s="59"/>
      <c r="C5" t="s">
        <v>201</v>
      </c>
      <c r="J5" s="187">
        <f>'Financial Statements'!$G$52</f>
        <v>22000000</v>
      </c>
      <c r="K5" s="129"/>
      <c r="L5" s="187">
        <f>'Financial Statements'!$G$52</f>
        <v>22000000</v>
      </c>
      <c r="M5" s="129"/>
      <c r="N5" s="187">
        <f>'Financial Statements'!$G$52</f>
        <v>22000000</v>
      </c>
      <c r="O5" s="129"/>
      <c r="P5" s="187">
        <f>'Financial Statements'!$G$52</f>
        <v>22000000</v>
      </c>
      <c r="Q5" s="129"/>
      <c r="R5" s="187">
        <f>'Financial Statements'!$G$52</f>
        <v>22000000</v>
      </c>
      <c r="S5" s="129"/>
    </row>
    <row r="6" spans="2:19" ht="12.75" customHeight="1">
      <c r="B6" s="59"/>
      <c r="J6" s="187"/>
      <c r="K6" s="129"/>
      <c r="L6" s="187"/>
      <c r="M6" s="129"/>
      <c r="N6" s="187"/>
      <c r="O6" s="129"/>
      <c r="P6" s="187"/>
      <c r="Q6" s="129"/>
      <c r="R6" s="187"/>
      <c r="S6" s="129"/>
    </row>
    <row r="7" spans="2:19" ht="12.75" customHeight="1">
      <c r="B7" s="59"/>
      <c r="C7" t="s">
        <v>202</v>
      </c>
      <c r="J7" s="192">
        <f>'Enter and Change Data Here'!G30/100</f>
        <v>0.85</v>
      </c>
      <c r="K7" s="188"/>
      <c r="L7" s="192">
        <f>'Enter and Change Data Here'!G31/100</f>
        <v>0.95</v>
      </c>
      <c r="M7" s="188"/>
      <c r="N7" s="192">
        <f>'Enter and Change Data Here'!G32/100</f>
        <v>1</v>
      </c>
      <c r="O7" s="188"/>
      <c r="P7" s="192">
        <v>1</v>
      </c>
      <c r="Q7" s="188"/>
      <c r="R7" s="192">
        <v>1</v>
      </c>
      <c r="S7" s="129"/>
    </row>
    <row r="8" spans="2:19" ht="12.75" customHeight="1">
      <c r="B8" s="59"/>
      <c r="J8" s="128"/>
      <c r="K8" s="129"/>
      <c r="L8" s="128"/>
      <c r="M8" s="129"/>
      <c r="N8" s="128"/>
      <c r="O8" s="129"/>
      <c r="P8" s="128"/>
      <c r="Q8" s="129"/>
      <c r="R8" s="128"/>
      <c r="S8" s="129"/>
    </row>
    <row r="9" spans="1:19" ht="12.75" customHeight="1">
      <c r="A9" s="2"/>
      <c r="B9" s="120" t="str">
        <f>'Enter and Change Data Here'!K125</f>
        <v>by Earnings</v>
      </c>
      <c r="C9" s="2"/>
      <c r="J9" s="128">
        <f>J$3</f>
        <v>2004</v>
      </c>
      <c r="K9" s="2"/>
      <c r="L9" s="128">
        <f>L$3</f>
        <v>2005</v>
      </c>
      <c r="M9" s="2"/>
      <c r="N9" s="128">
        <f>N$3</f>
        <v>2006</v>
      </c>
      <c r="O9" s="2"/>
      <c r="P9" s="128">
        <f>P$3</f>
        <v>2007</v>
      </c>
      <c r="Q9" s="2"/>
      <c r="R9" s="128">
        <f>R$3</f>
        <v>2008</v>
      </c>
      <c r="S9" s="2"/>
    </row>
    <row r="10" spans="1:19" ht="12.75" customHeight="1">
      <c r="A10" s="2"/>
      <c r="B10" s="2"/>
      <c r="C10" s="2" t="str">
        <f>CONCATENATE("(",'Enter and Change Data Here'!$O$127,"% weighting)")</f>
        <v>(15% weighting)</v>
      </c>
      <c r="J10" s="139"/>
      <c r="K10" s="2"/>
      <c r="L10" s="139"/>
      <c r="M10" s="2"/>
      <c r="N10" s="139"/>
      <c r="O10" s="2"/>
      <c r="P10" s="139"/>
      <c r="Q10" s="2"/>
      <c r="R10" s="139"/>
      <c r="S10" s="2"/>
    </row>
    <row r="11" spans="1:19" ht="12.75" customHeight="1">
      <c r="A11" s="2"/>
      <c r="B11" s="2"/>
      <c r="C11" s="2"/>
      <c r="J11" s="139"/>
      <c r="K11" s="2"/>
      <c r="L11" s="139"/>
      <c r="M11" s="2"/>
      <c r="N11" s="139"/>
      <c r="O11" s="2"/>
      <c r="P11" s="139"/>
      <c r="Q11" s="2"/>
      <c r="R11" s="139"/>
      <c r="S11" s="2"/>
    </row>
    <row r="12" spans="1:19" ht="12.75" customHeight="1">
      <c r="A12" s="2"/>
      <c r="C12" s="141" t="str">
        <f>CONCATENATE("Earnings (for the twelve months ended December 31) (",'Enter and Change Data Here'!$G$13,")")</f>
        <v>Earnings (for the twelve months ended December 31) ($US)</v>
      </c>
      <c r="J12" s="139"/>
      <c r="K12" s="42"/>
      <c r="L12" s="139">
        <f>'Financial Statements'!L25</f>
        <v>2195910.7728815926</v>
      </c>
      <c r="M12" s="42"/>
      <c r="N12" s="139">
        <f>'Financial Statements'!N25</f>
        <v>3426720.9872606327</v>
      </c>
      <c r="O12" s="42"/>
      <c r="P12" s="139">
        <f>'Financial Statements'!P25</f>
        <v>4174199.65088594</v>
      </c>
      <c r="Q12" s="42"/>
      <c r="R12" s="139">
        <f>'Financial Statements'!R25</f>
        <v>4413281.816997603</v>
      </c>
      <c r="S12" s="42"/>
    </row>
    <row r="13" spans="1:19" ht="12.75" customHeight="1">
      <c r="A13" s="2"/>
      <c r="C13" s="2"/>
      <c r="J13" s="139"/>
      <c r="K13" s="42"/>
      <c r="L13" s="139"/>
      <c r="M13" s="2"/>
      <c r="N13" s="139"/>
      <c r="O13" s="2"/>
      <c r="P13" s="139"/>
      <c r="Q13" s="2"/>
      <c r="R13" s="139"/>
      <c r="S13" s="2"/>
    </row>
    <row r="14" spans="1:19" ht="12.75" customHeight="1">
      <c r="A14" s="2"/>
      <c r="C14" s="2" t="s">
        <v>144</v>
      </c>
      <c r="J14" s="193">
        <f>'Enter and Change Data Here'!$O$126</f>
        <v>12</v>
      </c>
      <c r="K14" s="42"/>
      <c r="L14" s="193">
        <f>'Enter and Change Data Here'!$O$126</f>
        <v>12</v>
      </c>
      <c r="M14" s="42"/>
      <c r="N14" s="193">
        <f>'Enter and Change Data Here'!$O$126</f>
        <v>12</v>
      </c>
      <c r="O14" s="42"/>
      <c r="P14" s="193">
        <f>'Enter and Change Data Here'!$O$126</f>
        <v>12</v>
      </c>
      <c r="Q14" s="42"/>
      <c r="R14" s="140"/>
      <c r="S14" s="42"/>
    </row>
    <row r="15" ht="12.75" customHeight="1"/>
    <row r="16" spans="3:18" ht="12.75" customHeight="1">
      <c r="C16" s="141" t="str">
        <f>CONCATENATE("Value (",'Enter and Change Data Here'!$G$13,")")</f>
        <v>Value ($US)</v>
      </c>
      <c r="J16" s="139">
        <f>J14*L12</f>
        <v>26350929.27457911</v>
      </c>
      <c r="L16" s="139">
        <f>L14*N12</f>
        <v>41120651.847127594</v>
      </c>
      <c r="N16" s="139">
        <f>N14*P12</f>
        <v>50090395.81063128</v>
      </c>
      <c r="P16" s="139">
        <f>P14*R12</f>
        <v>52959381.80397123</v>
      </c>
      <c r="R16" s="139"/>
    </row>
    <row r="17" ht="12.75" customHeight="1"/>
    <row r="18" spans="3:16" ht="12.75" customHeight="1">
      <c r="C18" s="141" t="str">
        <f>CONCATENATE("Value (post commissioning) (",'Enter and Change Data Here'!$G$13,")")</f>
        <v>Value (post commissioning) ($US)</v>
      </c>
      <c r="J18" s="139">
        <f>IF('Enter and Change Data Here'!$G$30=100,Valuation!J16,0)</f>
        <v>0</v>
      </c>
      <c r="L18" s="139">
        <f>IF(J18&lt;&gt;0,0,IF('Enter and Change Data Here'!$G$31=100,Valuation!L16,0))</f>
        <v>0</v>
      </c>
      <c r="N18" s="139">
        <f>IF(J18+L18&lt;&gt;0,0,IF('Enter and Change Data Here'!$G$32=100,Valuation!N16,0))</f>
        <v>50090395.81063128</v>
      </c>
      <c r="P18" s="139">
        <f>IF(SUM(J18:O18)=0,P16,0)</f>
        <v>0</v>
      </c>
    </row>
    <row r="19" ht="12.75" customHeight="1"/>
    <row r="20" spans="3:10" ht="12.75" customHeight="1">
      <c r="C20" s="15" t="str">
        <f>CONCATENATE("Valuation by Earnings (",'Enter and Change Data Here'!$G$13,")")</f>
        <v>Valuation by Earnings ($US)</v>
      </c>
      <c r="J20" s="225">
        <f>SUM(J18:P18)</f>
        <v>50090395.81063128</v>
      </c>
    </row>
    <row r="21" ht="12.75" customHeight="1"/>
    <row r="22" spans="3:10" ht="12.75" customHeight="1">
      <c r="C22" s="15" t="str">
        <f>CONCATENATE("Value per share following IPO (",'Enter and Change Data Here'!$G$13,")")</f>
        <v>Value per share following IPO ($US)</v>
      </c>
      <c r="J22" s="226">
        <f>J20/('Enter and Change Data Here'!$G$9+'Enter and Change Data Here'!$G$10)</f>
        <v>2.276836173210513</v>
      </c>
    </row>
    <row r="23" ht="12.75" customHeight="1"/>
    <row r="24" ht="12.75" customHeight="1"/>
    <row r="25" spans="2:19" ht="12.75" customHeight="1">
      <c r="B25" s="98" t="str">
        <f>'Enter and Change Data Here'!K129</f>
        <v>by Discounted Cash Flow</v>
      </c>
      <c r="C25" s="83"/>
      <c r="D25" s="83"/>
      <c r="J25" s="128"/>
      <c r="K25" s="2"/>
      <c r="L25" s="128"/>
      <c r="M25" s="2"/>
      <c r="N25" s="128"/>
      <c r="O25" s="2"/>
      <c r="P25" s="128"/>
      <c r="Q25" s="2"/>
      <c r="R25" s="128"/>
      <c r="S25" s="2"/>
    </row>
    <row r="26" spans="2:4" ht="12.75" customHeight="1">
      <c r="B26" s="98"/>
      <c r="C26" s="2" t="str">
        <f>CONCATENATE("(",'Enter and Change Data Here'!O131,"% weighting)")</f>
        <v>(75% weighting)</v>
      </c>
      <c r="D26" s="83"/>
    </row>
    <row r="27" spans="2:10" ht="12.75" customHeight="1">
      <c r="B27" s="98"/>
      <c r="C27" s="83"/>
      <c r="D27" s="83"/>
      <c r="J27" s="139"/>
    </row>
    <row r="28" spans="3:10" ht="12.75" customHeight="1">
      <c r="C28" s="141" t="str">
        <f>'Enter and Change Data Here'!L8</f>
        <v>25 year Net Present Value @ 7% Discount Rate ($US)</v>
      </c>
      <c r="D28" s="83"/>
      <c r="J28" s="139">
        <f>'Enter and Change Data Here'!O8</f>
        <v>41516303.84255535</v>
      </c>
    </row>
    <row r="29" spans="3:10" ht="12.75" customHeight="1">
      <c r="C29" s="141" t="str">
        <f>CONCATENATE("IPO Equity (",'Enter and Change Data Here'!$G$13,")")</f>
        <v>IPO Equity ($US)</v>
      </c>
      <c r="D29" s="83"/>
      <c r="J29" s="139">
        <f>'Enter and Change Data Here'!O30</f>
        <v>56141949.152542375</v>
      </c>
    </row>
    <row r="30" spans="3:10" ht="12.75" customHeight="1">
      <c r="C30" s="141"/>
      <c r="D30" s="83"/>
      <c r="J30" s="139"/>
    </row>
    <row r="31" spans="3:10" ht="12.75" customHeight="1">
      <c r="C31" s="15" t="str">
        <f>CONCATENATE("Valuation by Discounted Cash Flow (",'Enter and Change Data Here'!$G$13,")")</f>
        <v>Valuation by Discounted Cash Flow ($US)</v>
      </c>
      <c r="D31" s="83"/>
      <c r="J31" s="225">
        <f>SUM(J28:J29)</f>
        <v>97658252.99509773</v>
      </c>
    </row>
    <row r="32" ht="12.75" customHeight="1"/>
    <row r="33" spans="3:10" ht="12.75" customHeight="1">
      <c r="C33" s="15" t="str">
        <f>CONCATENATE("Value per share following IPO (",'Enter and Change Data Here'!$G$13,")")</f>
        <v>Value per share following IPO ($US)</v>
      </c>
      <c r="J33" s="226">
        <f>(J28+J29)/('Enter and Change Data Here'!$G$9+'Enter and Change Data Here'!$G$10)</f>
        <v>4.43901149977717</v>
      </c>
    </row>
    <row r="34" ht="12.75" customHeight="1"/>
    <row r="35" ht="12.75" customHeight="1"/>
    <row r="36" spans="2:18" ht="12.75" customHeight="1">
      <c r="B36" s="120" t="str">
        <f>'Enter and Change Data Here'!K133</f>
        <v>by EBITDA</v>
      </c>
      <c r="J36" s="128">
        <f>J$3</f>
        <v>2004</v>
      </c>
      <c r="K36" s="2"/>
      <c r="L36" s="128">
        <f>L$3</f>
        <v>2005</v>
      </c>
      <c r="M36" s="2"/>
      <c r="N36" s="128">
        <f>N$3</f>
        <v>2006</v>
      </c>
      <c r="O36" s="2"/>
      <c r="P36" s="128">
        <f>P$3</f>
        <v>2007</v>
      </c>
      <c r="Q36" s="2"/>
      <c r="R36" s="128">
        <f>R$3</f>
        <v>2008</v>
      </c>
    </row>
    <row r="37" spans="2:19" ht="12.75" customHeight="1">
      <c r="B37" s="120"/>
      <c r="C37" s="2" t="str">
        <f>CONCATENATE("(",'Enter and Change Data Here'!O135,"% weighting)")</f>
        <v>(5% weighting)</v>
      </c>
      <c r="S37" s="2"/>
    </row>
    <row r="38" ht="12.75" customHeight="1"/>
    <row r="39" spans="3:18" ht="12.75" customHeight="1">
      <c r="C39" s="141" t="str">
        <f>CONCATENATE("EBITDA (for the twelve months ended December 31) (",'Enter and Change Data Here'!$G$13,")")</f>
        <v>EBITDA (for the twelve months ended December 31) ($US)</v>
      </c>
      <c r="J39" s="139"/>
      <c r="L39" s="139">
        <f>'Financial Statements'!L6-'Financial Statements'!L8-'Financial Statements'!L13</f>
        <v>11486864</v>
      </c>
      <c r="N39" s="139">
        <f>'Financial Statements'!N6-'Financial Statements'!N8-'Financial Statements'!N13</f>
        <v>13324236.479999997</v>
      </c>
      <c r="P39" s="139">
        <f>'Financial Statements'!P6-'Financial Statements'!P8-'Financial Statements'!P13</f>
        <v>14310420.384000001</v>
      </c>
      <c r="R39" s="139">
        <f>'Financial Statements'!R6-'Financial Statements'!R8-'Financial Statements'!R13</f>
        <v>14419337.04384</v>
      </c>
    </row>
    <row r="40" ht="12.75" customHeight="1"/>
    <row r="41" spans="3:18" ht="12.75" customHeight="1">
      <c r="C41" t="s">
        <v>142</v>
      </c>
      <c r="J41" s="193">
        <f>'Enter and Change Data Here'!$O$134</f>
        <v>4</v>
      </c>
      <c r="K41" s="42"/>
      <c r="L41" s="193">
        <f>'Enter and Change Data Here'!$O$134</f>
        <v>4</v>
      </c>
      <c r="M41" s="42"/>
      <c r="N41" s="193">
        <f>'Enter and Change Data Here'!$O$134</f>
        <v>4</v>
      </c>
      <c r="O41" s="42"/>
      <c r="P41" s="193">
        <f>'Enter and Change Data Here'!$O$134</f>
        <v>4</v>
      </c>
      <c r="Q41" s="42"/>
      <c r="R41" s="140"/>
    </row>
    <row r="42" ht="12.75" customHeight="1"/>
    <row r="43" spans="3:18" ht="12.75" customHeight="1">
      <c r="C43" s="141" t="str">
        <f>CONCATENATE("Value (",'Enter and Change Data Here'!$G$13,")")</f>
        <v>Value ($US)</v>
      </c>
      <c r="J43" s="139">
        <f>J41*L39</f>
        <v>45947456</v>
      </c>
      <c r="L43" s="139">
        <f>L41*N39</f>
        <v>53296945.91999999</v>
      </c>
      <c r="N43" s="139">
        <f>N41*P39</f>
        <v>57241681.536000006</v>
      </c>
      <c r="P43" s="139">
        <f>P41*R39</f>
        <v>57677348.17536</v>
      </c>
      <c r="R43" s="139"/>
    </row>
    <row r="44" ht="12.75" customHeight="1"/>
    <row r="45" spans="3:16" ht="12.75" customHeight="1">
      <c r="C45" s="141" t="str">
        <f>CONCATENATE("Value (post commissioning) (",'Enter and Change Data Here'!$G$13,")")</f>
        <v>Value (post commissioning) ($US)</v>
      </c>
      <c r="J45" s="139">
        <f>IF('Enter and Change Data Here'!$G$30=100,Valuation!J43,0)</f>
        <v>0</v>
      </c>
      <c r="L45" s="139">
        <f>IF(J45&lt;&gt;0,0,IF('Enter and Change Data Here'!$G$31=100,Valuation!L43,0))</f>
        <v>0</v>
      </c>
      <c r="N45" s="139">
        <f>IF(J45+L45&lt;&gt;0,0,IF('Enter and Change Data Here'!$G$32=100,Valuation!N43,0))</f>
        <v>57241681.536000006</v>
      </c>
      <c r="P45" s="139">
        <f>IF(SUM(J45:O45)=0,P43,0)</f>
        <v>0</v>
      </c>
    </row>
    <row r="46" spans="3:16" ht="12.75" customHeight="1">
      <c r="C46" s="141"/>
      <c r="J46" s="139"/>
      <c r="L46" s="139"/>
      <c r="N46" s="139"/>
      <c r="P46" s="139"/>
    </row>
    <row r="47" spans="3:16" ht="12.75" customHeight="1">
      <c r="C47" s="15" t="str">
        <f>CONCATENATE("Valuation by EBITDA (",'Enter and Change Data Here'!$G$13,")")</f>
        <v>Valuation by EBITDA ($US)</v>
      </c>
      <c r="J47" s="225">
        <f>SUM(J45:P45)</f>
        <v>57241681.536000006</v>
      </c>
      <c r="L47" s="139"/>
      <c r="N47" s="139"/>
      <c r="P47" s="139"/>
    </row>
    <row r="48" ht="12.75" customHeight="1"/>
    <row r="49" spans="3:10" ht="12.75" customHeight="1">
      <c r="C49" s="15" t="str">
        <f>CONCATENATE("Value per share following IPO (",'Enter and Change Data Here'!$G$13,")")</f>
        <v>Value per share following IPO ($US)</v>
      </c>
      <c r="J49" s="226">
        <f>SUM(J45:Q45)/('Enter and Change Data Here'!$G$9+'Enter and Change Data Here'!$G$10)</f>
        <v>2.6018946152727276</v>
      </c>
    </row>
    <row r="50" ht="12.75" customHeight="1"/>
    <row r="51" ht="12.75" customHeight="1"/>
    <row r="52" spans="2:19" ht="12.75" customHeight="1">
      <c r="B52" s="120" t="str">
        <f>'Enter and Change Data Here'!K137</f>
        <v>by Book Value</v>
      </c>
      <c r="J52" s="128">
        <f>J$3</f>
        <v>2004</v>
      </c>
      <c r="K52" s="2"/>
      <c r="L52" s="128">
        <f>L$3</f>
        <v>2005</v>
      </c>
      <c r="M52" s="2"/>
      <c r="N52" s="128">
        <f>N$3</f>
        <v>2006</v>
      </c>
      <c r="O52" s="2"/>
      <c r="P52" s="128">
        <f>P$3</f>
        <v>2007</v>
      </c>
      <c r="Q52" s="2"/>
      <c r="R52" s="128">
        <f>R$3</f>
        <v>2008</v>
      </c>
      <c r="S52" s="2"/>
    </row>
    <row r="53" spans="2:3" ht="12.75" customHeight="1">
      <c r="B53" s="120"/>
      <c r="C53" s="2" t="str">
        <f>CONCATENATE("(",'Enter and Change Data Here'!O139,"% weighting)")</f>
        <v>(5% weighting)</v>
      </c>
    </row>
    <row r="54" spans="2:3" ht="12.75" customHeight="1">
      <c r="B54" s="120"/>
      <c r="C54" s="2"/>
    </row>
    <row r="55" spans="3:18" ht="12.75" customHeight="1">
      <c r="C55" s="141" t="str">
        <f>CONCATENATE("Book Value (at December 31) (",'Enter and Change Data Here'!$G$13,")")</f>
        <v>Book Value (at December 31) ($US)</v>
      </c>
      <c r="J55" s="139"/>
      <c r="L55" s="139">
        <f>('Financial Statements'!L51+'Financial Statements'!L53)</f>
        <v>56537859.925423965</v>
      </c>
      <c r="N55" s="139">
        <f>('Financial Statements'!N51+'Financial Statements'!N53)</f>
        <v>59964580.9126846</v>
      </c>
      <c r="P55" s="139">
        <f>('Financial Statements'!P51+'Financial Statements'!P53)</f>
        <v>64138780.56357054</v>
      </c>
      <c r="R55" s="139">
        <f>('Financial Statements'!R51+'Financial Statements'!R53)</f>
        <v>68552062.38056815</v>
      </c>
    </row>
    <row r="56" spans="2:3" ht="12.75" customHeight="1">
      <c r="B56" s="120"/>
      <c r="C56" s="2"/>
    </row>
    <row r="57" spans="2:10" ht="12.75" customHeight="1">
      <c r="B57" s="120"/>
      <c r="C57" s="83" t="s">
        <v>199</v>
      </c>
      <c r="J57" s="193">
        <f>'Enter and Change Data Here'!O138</f>
        <v>1</v>
      </c>
    </row>
    <row r="58" spans="2:10" ht="12.75" customHeight="1">
      <c r="B58" s="120"/>
      <c r="C58" s="83"/>
      <c r="J58" s="142"/>
    </row>
    <row r="59" spans="2:10" ht="12.75" customHeight="1">
      <c r="B59" s="120"/>
      <c r="C59" s="15" t="str">
        <f>CONCATENATE("Valuation by Book Value (",'Enter and Change Data Here'!$G$13,")")</f>
        <v>Valuation by Book Value ($US)</v>
      </c>
      <c r="J59" s="225">
        <f>L55</f>
        <v>56537859.925423965</v>
      </c>
    </row>
    <row r="60" ht="12.75" customHeight="1"/>
    <row r="61" spans="3:10" ht="12.75" customHeight="1">
      <c r="C61" s="15" t="str">
        <f>CONCATENATE("Value per share following IPO (",'Enter and Change Data Here'!$G$13,")")</f>
        <v>Value per share following IPO ($US)</v>
      </c>
      <c r="J61" s="226">
        <f>L55*J57/('Enter and Change Data Here'!$G$9+'Enter and Change Data Here'!$G$10)</f>
        <v>2.5699027238829073</v>
      </c>
    </row>
    <row r="62" ht="12.75" customHeight="1"/>
    <row r="63" ht="12.75" customHeight="1"/>
    <row r="64" ht="12.75" customHeight="1"/>
    <row r="65" spans="2:10" ht="12.75" customHeight="1">
      <c r="B65" s="15" t="str">
        <f>CONCATENATE("Weighted Average Market Value per share following IPO (",'Enter and Change Data Here'!$G$13,")")</f>
        <v>Weighted Average Market Value per share following IPO ($US)</v>
      </c>
      <c r="J65" s="226">
        <f>'Enter and Change Data Here'!O127/100*Valuation!J22+'Enter and Change Data Here'!O131/100*Valuation!J33+'Enter and Change Data Here'!O135/100*Valuation!J49+'Enter and Change Data Here'!O139/100*Valuation!J61</f>
        <v>3.929373917772236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9" useFirstPageNumber="1" horizontalDpi="600" verticalDpi="600" orientation="portrait" scale="60" r:id="rId1"/>
  <headerFooter alignWithMargins="0">
    <oddHeader>&amp;L&amp;"Arial,Bold"&amp;12Wind Turbine Farm Economic Viability Model</oddHeader>
    <oddFooter>&amp;L&amp;F,  www.vanfm.com&amp;CPage &amp;P&amp;Rby Tom Kingston P.Eng MBA (604) 694-2501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H301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4" width="1.7109375" style="0" customWidth="1"/>
    <col min="5" max="5" width="2.7109375" style="0" customWidth="1"/>
    <col min="6" max="6" width="19.7109375" style="2" customWidth="1"/>
    <col min="7" max="7" width="12.8515625" style="2" customWidth="1"/>
    <col min="8" max="8" width="3.28125" style="2" customWidth="1"/>
    <col min="9" max="9" width="1.7109375" style="2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1.7109375" style="0" customWidth="1"/>
    <col min="20" max="20" width="12.7109375" style="0" customWidth="1"/>
    <col min="21" max="21" width="1.7109375" style="0" customWidth="1"/>
    <col min="22" max="22" width="12.7109375" style="0" customWidth="1"/>
    <col min="23" max="23" width="1.7109375" style="0" customWidth="1"/>
    <col min="24" max="24" width="12.7109375" style="0" customWidth="1"/>
    <col min="25" max="25" width="1.7109375" style="0" customWidth="1"/>
    <col min="26" max="26" width="12.7109375" style="0" customWidth="1"/>
    <col min="27" max="27" width="1.7109375" style="0" customWidth="1"/>
    <col min="28" max="28" width="12.7109375" style="0" customWidth="1"/>
    <col min="29" max="29" width="1.7109375" style="0" customWidth="1"/>
    <col min="30" max="30" width="12.7109375" style="0" customWidth="1"/>
    <col min="31" max="31" width="1.7109375" style="0" customWidth="1"/>
    <col min="32" max="32" width="12.7109375" style="0" customWidth="1"/>
    <col min="33" max="33" width="1.7109375" style="0" customWidth="1"/>
    <col min="34" max="34" width="12.7109375" style="0" customWidth="1"/>
    <col min="35" max="35" width="1.7109375" style="0" customWidth="1"/>
    <col min="36" max="36" width="12.7109375" style="0" customWidth="1"/>
    <col min="37" max="37" width="1.7109375" style="0" customWidth="1"/>
    <col min="38" max="38" width="12.7109375" style="0" customWidth="1"/>
    <col min="39" max="39" width="1.7109375" style="0" customWidth="1"/>
    <col min="40" max="40" width="12.7109375" style="0" customWidth="1"/>
    <col min="41" max="41" width="1.7109375" style="0" customWidth="1"/>
    <col min="42" max="42" width="12.7109375" style="0" customWidth="1"/>
    <col min="43" max="43" width="1.7109375" style="0" customWidth="1"/>
    <col min="44" max="44" width="12.7109375" style="0" customWidth="1"/>
    <col min="45" max="45" width="1.7109375" style="0" customWidth="1"/>
    <col min="46" max="46" width="12.7109375" style="0" customWidth="1"/>
    <col min="47" max="47" width="1.7109375" style="0" customWidth="1"/>
    <col min="48" max="48" width="12.7109375" style="0" customWidth="1"/>
    <col min="49" max="49" width="1.7109375" style="0" customWidth="1"/>
    <col min="50" max="50" width="12.7109375" style="0" customWidth="1"/>
    <col min="51" max="51" width="1.7109375" style="0" customWidth="1"/>
    <col min="52" max="52" width="12.7109375" style="0" customWidth="1"/>
    <col min="53" max="53" width="1.7109375" style="0" customWidth="1"/>
    <col min="54" max="54" width="12.7109375" style="0" customWidth="1"/>
    <col min="55" max="55" width="1.7109375" style="0" customWidth="1"/>
    <col min="56" max="56" width="12.7109375" style="0" customWidth="1"/>
    <col min="57" max="57" width="1.7109375" style="0" customWidth="1"/>
    <col min="58" max="58" width="12.7109375" style="0" customWidth="1"/>
    <col min="59" max="59" width="1.7109375" style="0" customWidth="1"/>
    <col min="60" max="60" width="12.7109375" style="0" customWidth="1"/>
    <col min="61" max="61" width="1.7109375" style="0" customWidth="1"/>
    <col min="62" max="62" width="12.7109375" style="0" customWidth="1"/>
    <col min="63" max="63" width="1.7109375" style="0" customWidth="1"/>
    <col min="64" max="64" width="12.7109375" style="0" customWidth="1"/>
    <col min="65" max="65" width="1.7109375" style="0" customWidth="1"/>
    <col min="66" max="66" width="12.7109375" style="0" customWidth="1"/>
    <col min="67" max="67" width="1.7109375" style="0" customWidth="1"/>
    <col min="68" max="68" width="12.7109375" style="0" customWidth="1"/>
    <col min="69" max="69" width="1.7109375" style="0" customWidth="1"/>
    <col min="70" max="70" width="12.7109375" style="0" customWidth="1"/>
    <col min="71" max="71" width="1.7109375" style="0" customWidth="1"/>
    <col min="72" max="72" width="12.7109375" style="0" customWidth="1"/>
    <col min="73" max="73" width="1.7109375" style="0" customWidth="1"/>
    <col min="74" max="74" width="12.7109375" style="0" customWidth="1"/>
    <col min="75" max="75" width="1.7109375" style="0" customWidth="1"/>
    <col min="76" max="76" width="12.7109375" style="0" customWidth="1"/>
    <col min="77" max="77" width="1.7109375" style="0" customWidth="1"/>
    <col min="78" max="78" width="12.7109375" style="0" customWidth="1"/>
    <col min="79" max="79" width="1.7109375" style="0" customWidth="1"/>
    <col min="80" max="80" width="12.7109375" style="0" customWidth="1"/>
    <col min="81" max="81" width="1.7109375" style="0" customWidth="1"/>
    <col min="82" max="82" width="12.7109375" style="0" customWidth="1"/>
    <col min="83" max="83" width="1.7109375" style="0" customWidth="1"/>
    <col min="84" max="84" width="12.7109375" style="0" customWidth="1"/>
    <col min="85" max="85" width="1.7109375" style="0" customWidth="1"/>
    <col min="86" max="86" width="12.7109375" style="0" customWidth="1"/>
    <col min="87" max="87" width="1.7109375" style="0" customWidth="1"/>
    <col min="88" max="88" width="12.7109375" style="0" customWidth="1"/>
    <col min="89" max="89" width="1.7109375" style="0" customWidth="1"/>
    <col min="90" max="90" width="12.7109375" style="0" customWidth="1"/>
    <col min="91" max="91" width="1.7109375" style="0" customWidth="1"/>
    <col min="92" max="92" width="12.7109375" style="0" customWidth="1"/>
    <col min="93" max="93" width="1.7109375" style="0" customWidth="1"/>
    <col min="94" max="94" width="12.7109375" style="0" customWidth="1"/>
    <col min="95" max="95" width="1.7109375" style="0" customWidth="1"/>
    <col min="96" max="96" width="12.7109375" style="0" customWidth="1"/>
    <col min="97" max="97" width="1.7109375" style="0" customWidth="1"/>
    <col min="98" max="98" width="12.7109375" style="0" customWidth="1"/>
    <col min="99" max="99" width="1.7109375" style="0" customWidth="1"/>
    <col min="100" max="100" width="12.7109375" style="0" customWidth="1"/>
    <col min="101" max="101" width="1.7109375" style="0" customWidth="1"/>
    <col min="102" max="102" width="12.7109375" style="0" customWidth="1"/>
    <col min="103" max="103" width="1.7109375" style="0" customWidth="1"/>
    <col min="104" max="104" width="12.7109375" style="0" customWidth="1"/>
    <col min="105" max="105" width="1.7109375" style="0" customWidth="1"/>
    <col min="106" max="106" width="12.7109375" style="0" customWidth="1"/>
    <col min="107" max="107" width="1.7109375" style="0" customWidth="1"/>
    <col min="108" max="108" width="12.7109375" style="0" customWidth="1"/>
    <col min="109" max="109" width="1.7109375" style="0" customWidth="1"/>
    <col min="110" max="110" width="12.7109375" style="0" customWidth="1"/>
    <col min="111" max="111" width="1.7109375" style="0" customWidth="1"/>
  </cols>
  <sheetData>
    <row r="1" spans="2:9" s="13" customFormat="1" ht="12.75" customHeight="1">
      <c r="B1" s="64" t="str">
        <f>'Enter and Change Data Here'!$G$7</f>
        <v>Windstorm Power Company</v>
      </c>
      <c r="D1" s="8"/>
      <c r="E1" s="8"/>
      <c r="F1" s="8"/>
      <c r="I1" s="8"/>
    </row>
    <row r="2" spans="1:111" ht="12.75" customHeight="1">
      <c r="A2" s="2"/>
      <c r="B2" s="130" t="s">
        <v>151</v>
      </c>
      <c r="C2" s="130"/>
      <c r="D2" s="130"/>
      <c r="E2" s="130"/>
      <c r="F2" s="130"/>
      <c r="G2" s="130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2"/>
      <c r="AZ2" s="1"/>
      <c r="BA2" s="2"/>
      <c r="BB2" s="1"/>
      <c r="BC2" s="2"/>
      <c r="BD2" s="1"/>
      <c r="BE2" s="2"/>
      <c r="BF2" s="1"/>
      <c r="BG2" s="2"/>
      <c r="BH2" s="1"/>
      <c r="BI2" s="2"/>
      <c r="BJ2" s="1"/>
      <c r="BK2" s="2"/>
      <c r="BL2" s="1"/>
      <c r="BM2" s="2"/>
      <c r="BN2" s="1"/>
      <c r="BO2" s="2"/>
      <c r="BP2" s="1"/>
      <c r="BQ2" s="2"/>
      <c r="BR2" s="1"/>
      <c r="BS2" s="2"/>
      <c r="BT2" s="1"/>
      <c r="BU2" s="2"/>
      <c r="BV2" s="1"/>
      <c r="BW2" s="2"/>
      <c r="BX2" s="1"/>
      <c r="BY2" s="2"/>
      <c r="BZ2" s="1"/>
      <c r="CA2" s="2"/>
      <c r="CB2" s="1"/>
      <c r="CC2" s="2"/>
      <c r="CD2" s="1"/>
      <c r="CE2" s="2"/>
      <c r="CF2" s="1"/>
      <c r="CG2" s="2"/>
      <c r="CH2" s="1"/>
      <c r="CI2" s="2"/>
      <c r="CJ2" s="1"/>
      <c r="CK2" s="2"/>
      <c r="CL2" s="1"/>
      <c r="CM2" s="2"/>
      <c r="CN2" s="1"/>
      <c r="CO2" s="2"/>
      <c r="CP2" s="1"/>
      <c r="CQ2" s="2"/>
      <c r="CR2" s="1"/>
      <c r="CS2" s="2"/>
      <c r="CT2" s="1"/>
      <c r="CU2" s="2"/>
      <c r="CV2" s="1"/>
      <c r="CW2" s="2"/>
      <c r="CX2" s="1"/>
      <c r="CY2" s="2"/>
      <c r="CZ2" s="1"/>
      <c r="DA2" s="2"/>
      <c r="DB2" s="1"/>
      <c r="DC2" s="2"/>
      <c r="DD2" s="1"/>
      <c r="DE2" s="2"/>
      <c r="DF2" s="1"/>
      <c r="DG2" s="2"/>
    </row>
    <row r="3" spans="1:112" ht="12.75" customHeight="1">
      <c r="A3" s="2"/>
      <c r="B3" s="15" t="s">
        <v>74</v>
      </c>
      <c r="C3" s="2"/>
      <c r="D3" s="2"/>
      <c r="E3" s="2"/>
      <c r="J3" s="128">
        <f>'Enter and Change Data Here'!$G$12</f>
        <v>2004</v>
      </c>
      <c r="K3" s="129"/>
      <c r="L3" s="128">
        <f>J3+1</f>
        <v>2005</v>
      </c>
      <c r="M3" s="129"/>
      <c r="N3" s="128">
        <f>L3+1</f>
        <v>2006</v>
      </c>
      <c r="O3" s="129"/>
      <c r="P3" s="128">
        <f>N3+1</f>
        <v>2007</v>
      </c>
      <c r="Q3" s="129"/>
      <c r="R3" s="128">
        <f>P3+1</f>
        <v>2008</v>
      </c>
      <c r="S3" s="129"/>
      <c r="T3" s="128">
        <f>R3+1</f>
        <v>2009</v>
      </c>
      <c r="U3" s="129"/>
      <c r="V3" s="128">
        <f>T3+1</f>
        <v>2010</v>
      </c>
      <c r="W3" s="129"/>
      <c r="X3" s="128">
        <f>V3+1</f>
        <v>2011</v>
      </c>
      <c r="Y3" s="129"/>
      <c r="Z3" s="128">
        <f>X3+1</f>
        <v>2012</v>
      </c>
      <c r="AA3" s="129"/>
      <c r="AB3" s="128">
        <f>Z3+1</f>
        <v>2013</v>
      </c>
      <c r="AC3" s="129"/>
      <c r="AD3" s="128">
        <f>AB3+1</f>
        <v>2014</v>
      </c>
      <c r="AE3" s="129"/>
      <c r="AF3" s="128">
        <f>AD3+1</f>
        <v>2015</v>
      </c>
      <c r="AG3" s="129"/>
      <c r="AH3" s="128">
        <f>AF3+1</f>
        <v>2016</v>
      </c>
      <c r="AI3" s="129"/>
      <c r="AJ3" s="128">
        <f>AH3+1</f>
        <v>2017</v>
      </c>
      <c r="AK3" s="129"/>
      <c r="AL3" s="128">
        <f>AJ3+1</f>
        <v>2018</v>
      </c>
      <c r="AM3" s="129"/>
      <c r="AN3" s="128">
        <f>AL3+1</f>
        <v>2019</v>
      </c>
      <c r="AO3" s="129"/>
      <c r="AP3" s="128">
        <f>AN3+1</f>
        <v>2020</v>
      </c>
      <c r="AQ3" s="129"/>
      <c r="AR3" s="128">
        <f>AP3+1</f>
        <v>2021</v>
      </c>
      <c r="AS3" s="129"/>
      <c r="AT3" s="128">
        <f>AR3+1</f>
        <v>2022</v>
      </c>
      <c r="AU3" s="129"/>
      <c r="AV3" s="128">
        <f>AT3+1</f>
        <v>2023</v>
      </c>
      <c r="AW3" s="129"/>
      <c r="AX3" s="128">
        <f>AV3+1</f>
        <v>2024</v>
      </c>
      <c r="AY3" s="129"/>
      <c r="AZ3" s="128">
        <f>AX3+1</f>
        <v>2025</v>
      </c>
      <c r="BA3" s="129"/>
      <c r="BB3" s="128">
        <f>AZ3+1</f>
        <v>2026</v>
      </c>
      <c r="BC3" s="129"/>
      <c r="BD3" s="128">
        <f>BB3+1</f>
        <v>2027</v>
      </c>
      <c r="BE3" s="129"/>
      <c r="BF3" s="128">
        <f>BD3+1</f>
        <v>2028</v>
      </c>
      <c r="BG3" s="129"/>
      <c r="BH3" s="128">
        <f>BF3+1</f>
        <v>2029</v>
      </c>
      <c r="BI3" s="129"/>
      <c r="BJ3" s="128">
        <f>BH3+1</f>
        <v>2030</v>
      </c>
      <c r="BK3" s="129"/>
      <c r="BL3" s="128">
        <f>BJ3+1</f>
        <v>2031</v>
      </c>
      <c r="BM3" s="129"/>
      <c r="BN3" s="128">
        <f>BL3+1</f>
        <v>2032</v>
      </c>
      <c r="BO3" s="129"/>
      <c r="BP3" s="128">
        <f>BN3+1</f>
        <v>2033</v>
      </c>
      <c r="BQ3" s="129"/>
      <c r="BR3" s="128">
        <f>BP3+1</f>
        <v>2034</v>
      </c>
      <c r="BS3" s="129"/>
      <c r="BT3" s="128">
        <f>BR3+1</f>
        <v>2035</v>
      </c>
      <c r="BU3" s="129"/>
      <c r="BV3" s="128">
        <f>BT3+1</f>
        <v>2036</v>
      </c>
      <c r="BW3" s="129"/>
      <c r="BX3" s="128">
        <f>BV3+1</f>
        <v>2037</v>
      </c>
      <c r="BY3" s="129"/>
      <c r="BZ3" s="128">
        <f>BX3+1</f>
        <v>2038</v>
      </c>
      <c r="CA3" s="129"/>
      <c r="CB3" s="128">
        <f>BZ3+1</f>
        <v>2039</v>
      </c>
      <c r="CC3" s="129"/>
      <c r="CD3" s="128">
        <f>CB3+1</f>
        <v>2040</v>
      </c>
      <c r="CE3" s="129"/>
      <c r="CF3" s="128">
        <f>CD3+1</f>
        <v>2041</v>
      </c>
      <c r="CG3" s="129"/>
      <c r="CH3" s="128">
        <f>CF3+1</f>
        <v>2042</v>
      </c>
      <c r="CI3" s="129"/>
      <c r="CJ3" s="128">
        <f>CH3+1</f>
        <v>2043</v>
      </c>
      <c r="CK3" s="129"/>
      <c r="CL3" s="128">
        <f>CJ3+1</f>
        <v>2044</v>
      </c>
      <c r="CM3" s="129"/>
      <c r="CN3" s="128">
        <f>CL3+1</f>
        <v>2045</v>
      </c>
      <c r="CO3" s="129"/>
      <c r="CP3" s="128">
        <f>CN3+1</f>
        <v>2046</v>
      </c>
      <c r="CQ3" s="129"/>
      <c r="CR3" s="128">
        <f>CP3+1</f>
        <v>2047</v>
      </c>
      <c r="CS3" s="129"/>
      <c r="CT3" s="128">
        <f>CR3+1</f>
        <v>2048</v>
      </c>
      <c r="CU3" s="129"/>
      <c r="CV3" s="128">
        <f>CT3+1</f>
        <v>2049</v>
      </c>
      <c r="CW3" s="129"/>
      <c r="CX3" s="128">
        <f>CV3+1</f>
        <v>2050</v>
      </c>
      <c r="CY3" s="129"/>
      <c r="CZ3" s="128">
        <f>CX3+1</f>
        <v>2051</v>
      </c>
      <c r="DA3" s="129"/>
      <c r="DB3" s="128">
        <f>CZ3+1</f>
        <v>2052</v>
      </c>
      <c r="DC3" s="129"/>
      <c r="DD3" s="128">
        <f>DB3+1</f>
        <v>2053</v>
      </c>
      <c r="DE3" s="129"/>
      <c r="DF3" s="128">
        <f>DD3+1</f>
        <v>2054</v>
      </c>
      <c r="DG3" s="129"/>
      <c r="DH3" s="13"/>
    </row>
    <row r="4" spans="1:111" ht="12.75" customHeight="1">
      <c r="A4" s="2"/>
      <c r="B4" s="41" t="str">
        <f>CONCATENATE("(in ",'Enter and Change Data Here'!$G$13,")")</f>
        <v>(in $US)</v>
      </c>
      <c r="C4" s="2"/>
      <c r="D4" s="2"/>
      <c r="E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2"/>
      <c r="AZ4" s="1"/>
      <c r="BA4" s="2"/>
      <c r="BB4" s="1"/>
      <c r="BC4" s="2"/>
      <c r="BD4" s="1"/>
      <c r="BE4" s="2"/>
      <c r="BF4" s="1"/>
      <c r="BG4" s="2"/>
      <c r="BH4" s="1"/>
      <c r="BI4" s="2"/>
      <c r="BJ4" s="1"/>
      <c r="BK4" s="2"/>
      <c r="BL4" s="1"/>
      <c r="BM4" s="2"/>
      <c r="BN4" s="1"/>
      <c r="BO4" s="2"/>
      <c r="BP4" s="1"/>
      <c r="BQ4" s="2"/>
      <c r="BR4" s="1"/>
      <c r="BS4" s="2"/>
      <c r="BT4" s="1"/>
      <c r="BU4" s="2"/>
      <c r="BV4" s="1"/>
      <c r="BW4" s="2"/>
      <c r="BX4" s="1"/>
      <c r="BY4" s="2"/>
      <c r="BZ4" s="1"/>
      <c r="CA4" s="2"/>
      <c r="CB4" s="1"/>
      <c r="CC4" s="2"/>
      <c r="CD4" s="1"/>
      <c r="CE4" s="2"/>
      <c r="CF4" s="1"/>
      <c r="CG4" s="2"/>
      <c r="CH4" s="1"/>
      <c r="CI4" s="2"/>
      <c r="CJ4" s="1"/>
      <c r="CK4" s="2"/>
      <c r="CL4" s="1"/>
      <c r="CM4" s="2"/>
      <c r="CN4" s="1"/>
      <c r="CO4" s="2"/>
      <c r="CP4" s="1"/>
      <c r="CQ4" s="2"/>
      <c r="CR4" s="1"/>
      <c r="CS4" s="2"/>
      <c r="CT4" s="1"/>
      <c r="CU4" s="2"/>
      <c r="CV4" s="1"/>
      <c r="CW4" s="2"/>
      <c r="CX4" s="1"/>
      <c r="CY4" s="2"/>
      <c r="CZ4" s="1"/>
      <c r="DA4" s="2"/>
      <c r="DB4" s="1"/>
      <c r="DC4" s="2"/>
      <c r="DD4" s="1"/>
      <c r="DE4" s="2"/>
      <c r="DF4" s="1"/>
      <c r="DG4" s="2"/>
    </row>
    <row r="5" spans="1:111" ht="12.75" customHeight="1">
      <c r="A5" s="2"/>
      <c r="B5" s="2"/>
      <c r="C5" s="2"/>
      <c r="D5" s="2"/>
      <c r="E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2"/>
      <c r="AZ5" s="1"/>
      <c r="BA5" s="2"/>
      <c r="BB5" s="1"/>
      <c r="BC5" s="2"/>
      <c r="BD5" s="1"/>
      <c r="BE5" s="2"/>
      <c r="BF5" s="1"/>
      <c r="BG5" s="2"/>
      <c r="BH5" s="1"/>
      <c r="BI5" s="2"/>
      <c r="BJ5" s="1"/>
      <c r="BK5" s="2"/>
      <c r="BL5" s="1"/>
      <c r="BM5" s="2"/>
      <c r="BN5" s="1"/>
      <c r="BO5" s="2"/>
      <c r="BP5" s="1"/>
      <c r="BQ5" s="2"/>
      <c r="BR5" s="1"/>
      <c r="BS5" s="2"/>
      <c r="BT5" s="1"/>
      <c r="BU5" s="2"/>
      <c r="BV5" s="1"/>
      <c r="BW5" s="2"/>
      <c r="BX5" s="1"/>
      <c r="BY5" s="2"/>
      <c r="BZ5" s="1"/>
      <c r="CA5" s="2"/>
      <c r="CB5" s="1"/>
      <c r="CC5" s="2"/>
      <c r="CD5" s="1"/>
      <c r="CE5" s="2"/>
      <c r="CF5" s="1"/>
      <c r="CG5" s="2"/>
      <c r="CH5" s="1"/>
      <c r="CI5" s="2"/>
      <c r="CJ5" s="1"/>
      <c r="CK5" s="2"/>
      <c r="CL5" s="1"/>
      <c r="CM5" s="2"/>
      <c r="CN5" s="1"/>
      <c r="CO5" s="2"/>
      <c r="CP5" s="1"/>
      <c r="CQ5" s="2"/>
      <c r="CR5" s="1"/>
      <c r="CS5" s="2"/>
      <c r="CT5" s="1"/>
      <c r="CU5" s="2"/>
      <c r="CV5" s="1"/>
      <c r="CW5" s="2"/>
      <c r="CX5" s="1"/>
      <c r="CY5" s="2"/>
      <c r="CZ5" s="1"/>
      <c r="DA5" s="2"/>
      <c r="DB5" s="1"/>
      <c r="DC5" s="2"/>
      <c r="DD5" s="1"/>
      <c r="DE5" s="2"/>
      <c r="DF5" s="1"/>
      <c r="DG5" s="2"/>
    </row>
    <row r="6" spans="1:111" ht="12.75" customHeight="1">
      <c r="A6" s="2"/>
      <c r="B6" s="2"/>
      <c r="C6" s="15" t="s">
        <v>78</v>
      </c>
      <c r="D6" s="2"/>
      <c r="E6" s="2"/>
      <c r="J6" s="1">
        <f>'Cash Flow'!I5</f>
        <v>0</v>
      </c>
      <c r="K6" s="42"/>
      <c r="L6" s="1">
        <f>'Cash Flow'!K5</f>
        <v>14772864</v>
      </c>
      <c r="M6" s="42"/>
      <c r="N6" s="1">
        <f>'Cash Flow'!M5</f>
        <v>16675956.479999997</v>
      </c>
      <c r="O6" s="42"/>
      <c r="P6" s="1">
        <f>'Cash Flow'!O5</f>
        <v>17729174.784</v>
      </c>
      <c r="Q6" s="42"/>
      <c r="R6" s="1">
        <f>'Cash Flow'!Q5</f>
        <v>17906466.53184</v>
      </c>
      <c r="S6" s="42"/>
      <c r="T6" s="1">
        <f>'Cash Flow'!S5</f>
        <v>18085531.1971584</v>
      </c>
      <c r="U6" s="42"/>
      <c r="V6" s="1">
        <f>'Cash Flow'!U5</f>
        <v>18266386.509129982</v>
      </c>
      <c r="W6" s="42"/>
      <c r="X6" s="1">
        <f>'Cash Flow'!W5</f>
        <v>18449050.374221288</v>
      </c>
      <c r="Y6" s="42"/>
      <c r="Z6" s="1">
        <f>'Cash Flow'!Y5</f>
        <v>18633540.877963495</v>
      </c>
      <c r="AA6" s="42"/>
      <c r="AB6" s="1">
        <f>'Cash Flow'!AA5</f>
        <v>18819876.286743134</v>
      </c>
      <c r="AC6" s="42"/>
      <c r="AD6" s="1">
        <f>'Cash Flow'!AC5</f>
        <v>19008075.049610566</v>
      </c>
      <c r="AE6" s="42"/>
      <c r="AF6" s="1">
        <f>'Cash Flow'!AE5</f>
        <v>19198155.800106674</v>
      </c>
      <c r="AG6" s="42"/>
      <c r="AH6" s="1">
        <f>'Cash Flow'!AG5</f>
        <v>19390137.358107734</v>
      </c>
      <c r="AI6" s="42"/>
      <c r="AJ6" s="1">
        <f>'Cash Flow'!AI5</f>
        <v>19584038.731688812</v>
      </c>
      <c r="AK6" s="42"/>
      <c r="AL6" s="1">
        <f>'Cash Flow'!AK5</f>
        <v>19779879.119005702</v>
      </c>
      <c r="AM6" s="42"/>
      <c r="AN6" s="1">
        <f>'Cash Flow'!AM5</f>
        <v>19977677.91019576</v>
      </c>
      <c r="AO6" s="42"/>
      <c r="AP6" s="1">
        <f>'Cash Flow'!AO5</f>
        <v>20177454.689297713</v>
      </c>
      <c r="AQ6" s="42"/>
      <c r="AR6" s="1">
        <f>'Cash Flow'!AQ5</f>
        <v>20379229.236190695</v>
      </c>
      <c r="AS6" s="42"/>
      <c r="AT6" s="1">
        <f>'Cash Flow'!AS5</f>
        <v>20583021.528552607</v>
      </c>
      <c r="AU6" s="42"/>
      <c r="AV6" s="1">
        <f>'Cash Flow'!AU5</f>
        <v>20788851.74383813</v>
      </c>
      <c r="AW6" s="42"/>
      <c r="AX6" s="1">
        <f>'Cash Flow'!AW5</f>
        <v>20996740.26127651</v>
      </c>
      <c r="AY6" s="42"/>
      <c r="AZ6" s="1">
        <f>'Cash Flow'!AY5</f>
        <v>21206707.663889274</v>
      </c>
      <c r="BA6" s="42"/>
      <c r="BB6" s="1">
        <f>'Cash Flow'!BA5</f>
        <v>21418774.740528166</v>
      </c>
      <c r="BC6" s="42"/>
      <c r="BD6" s="1">
        <f>'Cash Flow'!BC5</f>
        <v>21632962.487933453</v>
      </c>
      <c r="BE6" s="42"/>
      <c r="BF6" s="1">
        <f>'Cash Flow'!BE5</f>
        <v>21849292.112812784</v>
      </c>
      <c r="BG6" s="42"/>
      <c r="BH6" s="1">
        <f>'Cash Flow'!BG5</f>
        <v>22067785.03394092</v>
      </c>
      <c r="BI6" s="42"/>
      <c r="BJ6" s="1">
        <f>'Cash Flow'!BI5</f>
        <v>0</v>
      </c>
      <c r="BK6" s="42"/>
      <c r="BL6" s="1">
        <f>'Cash Flow'!BK5</f>
        <v>0</v>
      </c>
      <c r="BM6" s="42"/>
      <c r="BN6" s="1">
        <f>'Cash Flow'!BM5</f>
        <v>0</v>
      </c>
      <c r="BO6" s="42"/>
      <c r="BP6" s="1">
        <f>'Cash Flow'!BO5</f>
        <v>0</v>
      </c>
      <c r="BQ6" s="42"/>
      <c r="BR6" s="1">
        <f>'Cash Flow'!BQ5</f>
        <v>0</v>
      </c>
      <c r="BS6" s="42"/>
      <c r="BT6" s="1">
        <f>'Cash Flow'!BS5</f>
        <v>0</v>
      </c>
      <c r="BU6" s="42"/>
      <c r="BV6" s="1">
        <f>'Cash Flow'!BU5</f>
        <v>0</v>
      </c>
      <c r="BW6" s="42"/>
      <c r="BX6" s="1">
        <f>'Cash Flow'!BW5</f>
        <v>0</v>
      </c>
      <c r="BY6" s="42"/>
      <c r="BZ6" s="1">
        <f>'Cash Flow'!BY5</f>
        <v>0</v>
      </c>
      <c r="CA6" s="42"/>
      <c r="CB6" s="1">
        <f>'Cash Flow'!CA5</f>
        <v>0</v>
      </c>
      <c r="CC6" s="42"/>
      <c r="CD6" s="1">
        <f>'Cash Flow'!CC5</f>
        <v>0</v>
      </c>
      <c r="CE6" s="42"/>
      <c r="CF6" s="1">
        <f>'Cash Flow'!CE5</f>
        <v>0</v>
      </c>
      <c r="CG6" s="42"/>
      <c r="CH6" s="1">
        <f>'Cash Flow'!CG5</f>
        <v>0</v>
      </c>
      <c r="CI6" s="42"/>
      <c r="CJ6" s="1">
        <f>'Cash Flow'!CI5</f>
        <v>0</v>
      </c>
      <c r="CK6" s="42"/>
      <c r="CL6" s="1">
        <f>'Cash Flow'!CK5</f>
        <v>0</v>
      </c>
      <c r="CM6" s="42"/>
      <c r="CN6" s="1">
        <f>'Cash Flow'!CM5</f>
        <v>0</v>
      </c>
      <c r="CO6" s="42"/>
      <c r="CP6" s="1">
        <f>'Cash Flow'!CO5</f>
        <v>0</v>
      </c>
      <c r="CQ6" s="42"/>
      <c r="CR6" s="1">
        <f>'Cash Flow'!CQ5</f>
        <v>0</v>
      </c>
      <c r="CS6" s="42"/>
      <c r="CT6" s="1">
        <f>'Cash Flow'!CS5</f>
        <v>0</v>
      </c>
      <c r="CU6" s="42"/>
      <c r="CV6" s="1">
        <f>'Cash Flow'!CU5</f>
        <v>0</v>
      </c>
      <c r="CW6" s="42"/>
      <c r="CX6" s="1">
        <f>'Cash Flow'!CW5</f>
        <v>0</v>
      </c>
      <c r="CY6" s="42"/>
      <c r="CZ6" s="1">
        <f>'Cash Flow'!CY5</f>
        <v>0</v>
      </c>
      <c r="DA6" s="42"/>
      <c r="DB6" s="1">
        <f>'Cash Flow'!DA5</f>
        <v>0</v>
      </c>
      <c r="DC6" s="42"/>
      <c r="DD6" s="1">
        <f>'Cash Flow'!DC5</f>
        <v>0</v>
      </c>
      <c r="DE6" s="42"/>
      <c r="DF6" s="1">
        <f>'Cash Flow'!DE5</f>
        <v>0</v>
      </c>
      <c r="DG6" s="42"/>
    </row>
    <row r="7" spans="1:111" ht="12.75" customHeight="1">
      <c r="A7" s="2"/>
      <c r="B7" s="2"/>
      <c r="C7" s="15"/>
      <c r="D7" s="2"/>
      <c r="E7" s="2"/>
      <c r="J7" s="1"/>
      <c r="K7" s="42"/>
      <c r="L7" s="1"/>
      <c r="M7" s="42"/>
      <c r="N7" s="1"/>
      <c r="O7" s="42"/>
      <c r="P7" s="1"/>
      <c r="Q7" s="42"/>
      <c r="R7" s="1"/>
      <c r="S7" s="42"/>
      <c r="T7" s="1"/>
      <c r="U7" s="42"/>
      <c r="V7" s="1"/>
      <c r="W7" s="42"/>
      <c r="X7" s="1"/>
      <c r="Y7" s="42"/>
      <c r="Z7" s="1"/>
      <c r="AA7" s="42"/>
      <c r="AB7" s="1"/>
      <c r="AC7" s="42"/>
      <c r="AD7" s="1"/>
      <c r="AE7" s="42"/>
      <c r="AF7" s="1"/>
      <c r="AG7" s="42"/>
      <c r="AH7" s="1"/>
      <c r="AI7" s="42"/>
      <c r="AJ7" s="1"/>
      <c r="AK7" s="42"/>
      <c r="AL7" s="1"/>
      <c r="AM7" s="42"/>
      <c r="AN7" s="1"/>
      <c r="AO7" s="42"/>
      <c r="AP7" s="1"/>
      <c r="AQ7" s="42"/>
      <c r="AR7" s="1"/>
      <c r="AS7" s="42"/>
      <c r="AT7" s="1"/>
      <c r="AU7" s="42"/>
      <c r="AV7" s="1"/>
      <c r="AW7" s="42"/>
      <c r="AX7" s="1"/>
      <c r="AY7" s="42"/>
      <c r="AZ7" s="1"/>
      <c r="BA7" s="42"/>
      <c r="BB7" s="1"/>
      <c r="BC7" s="42"/>
      <c r="BD7" s="1"/>
      <c r="BE7" s="42"/>
      <c r="BF7" s="1"/>
      <c r="BG7" s="42"/>
      <c r="BH7" s="1"/>
      <c r="BI7" s="42"/>
      <c r="BJ7" s="1"/>
      <c r="BK7" s="42"/>
      <c r="BL7" s="1"/>
      <c r="BM7" s="42"/>
      <c r="BN7" s="1"/>
      <c r="BO7" s="42"/>
      <c r="BP7" s="1"/>
      <c r="BQ7" s="42"/>
      <c r="BR7" s="1"/>
      <c r="BS7" s="42"/>
      <c r="BT7" s="1"/>
      <c r="BU7" s="42"/>
      <c r="BV7" s="1"/>
      <c r="BW7" s="42"/>
      <c r="BX7" s="1"/>
      <c r="BY7" s="42"/>
      <c r="BZ7" s="1"/>
      <c r="CA7" s="42"/>
      <c r="CB7" s="1"/>
      <c r="CC7" s="42"/>
      <c r="CD7" s="1"/>
      <c r="CE7" s="42"/>
      <c r="CF7" s="1"/>
      <c r="CG7" s="42"/>
      <c r="CH7" s="1"/>
      <c r="CI7" s="42"/>
      <c r="CJ7" s="1"/>
      <c r="CK7" s="42"/>
      <c r="CL7" s="1"/>
      <c r="CM7" s="42"/>
      <c r="CN7" s="1"/>
      <c r="CO7" s="42"/>
      <c r="CP7" s="1"/>
      <c r="CQ7" s="42"/>
      <c r="CR7" s="1"/>
      <c r="CS7" s="42"/>
      <c r="CT7" s="1"/>
      <c r="CU7" s="42"/>
      <c r="CV7" s="1"/>
      <c r="CW7" s="42"/>
      <c r="CX7" s="1"/>
      <c r="CY7" s="42"/>
      <c r="CZ7" s="1"/>
      <c r="DA7" s="42"/>
      <c r="DB7" s="1"/>
      <c r="DC7" s="42"/>
      <c r="DD7" s="1"/>
      <c r="DE7" s="42"/>
      <c r="DF7" s="1"/>
      <c r="DG7" s="42"/>
    </row>
    <row r="8" spans="1:111" ht="12.75" customHeight="1">
      <c r="A8" s="2"/>
      <c r="B8" s="2"/>
      <c r="C8" s="2"/>
      <c r="D8" s="2" t="s">
        <v>219</v>
      </c>
      <c r="E8" s="2"/>
      <c r="J8" s="1">
        <f>-'Cash Flow'!I7</f>
        <v>0</v>
      </c>
      <c r="K8" s="42"/>
      <c r="L8" s="1">
        <f>-'Cash Flow'!K7</f>
        <v>2350000</v>
      </c>
      <c r="M8" s="42"/>
      <c r="N8" s="1">
        <f>-'Cash Flow'!M7</f>
        <v>2397000</v>
      </c>
      <c r="O8" s="42"/>
      <c r="P8" s="1">
        <f>-'Cash Flow'!O7</f>
        <v>2444940</v>
      </c>
      <c r="Q8" s="42"/>
      <c r="R8" s="1">
        <f>-'Cash Flow'!Q7</f>
        <v>2493838.8</v>
      </c>
      <c r="S8" s="42"/>
      <c r="T8" s="1">
        <f>-'Cash Flow'!S7</f>
        <v>2543715.576</v>
      </c>
      <c r="U8" s="42"/>
      <c r="V8" s="1">
        <f>-'Cash Flow'!U7</f>
        <v>2594589.88752</v>
      </c>
      <c r="W8" s="42"/>
      <c r="X8" s="1">
        <f>-'Cash Flow'!W7</f>
        <v>2646481.6852704003</v>
      </c>
      <c r="Y8" s="42"/>
      <c r="Z8" s="1">
        <f>-'Cash Flow'!Y7</f>
        <v>2699411.3189758076</v>
      </c>
      <c r="AA8" s="42"/>
      <c r="AB8" s="1">
        <f>-'Cash Flow'!AA7</f>
        <v>2753399.545355324</v>
      </c>
      <c r="AC8" s="42"/>
      <c r="AD8" s="1">
        <f>-'Cash Flow'!AC7</f>
        <v>2808467.5362624303</v>
      </c>
      <c r="AE8" s="42"/>
      <c r="AF8" s="1">
        <f>-'Cash Flow'!AE7</f>
        <v>2864636.886987679</v>
      </c>
      <c r="AG8" s="42"/>
      <c r="AH8" s="1">
        <f>-'Cash Flow'!AG7</f>
        <v>2921929.624727432</v>
      </c>
      <c r="AI8" s="42"/>
      <c r="AJ8" s="1">
        <f>-'Cash Flow'!AI7</f>
        <v>2980368.2172219814</v>
      </c>
      <c r="AK8" s="42"/>
      <c r="AL8" s="1">
        <f>-'Cash Flow'!AK7</f>
        <v>3039975.581566421</v>
      </c>
      <c r="AM8" s="42"/>
      <c r="AN8" s="1">
        <f>-'Cash Flow'!AM7</f>
        <v>3100775.0931977495</v>
      </c>
      <c r="AO8" s="42"/>
      <c r="AP8" s="1">
        <f>-'Cash Flow'!AO7</f>
        <v>3162790.5950617036</v>
      </c>
      <c r="AQ8" s="42"/>
      <c r="AR8" s="1">
        <f>-'Cash Flow'!AQ7</f>
        <v>3226046.406962938</v>
      </c>
      <c r="AS8" s="42"/>
      <c r="AT8" s="1">
        <f>-'Cash Flow'!AS7</f>
        <v>3290567.3351021972</v>
      </c>
      <c r="AU8" s="42"/>
      <c r="AV8" s="1">
        <f>-'Cash Flow'!AU7</f>
        <v>3356378.6818042407</v>
      </c>
      <c r="AW8" s="42"/>
      <c r="AX8" s="1">
        <f>-'Cash Flow'!AW7</f>
        <v>3423506.2554403255</v>
      </c>
      <c r="AY8" s="42"/>
      <c r="AZ8" s="1">
        <f>-'Cash Flow'!AY7</f>
        <v>3491976.3805491324</v>
      </c>
      <c r="BA8" s="42"/>
      <c r="BB8" s="1">
        <f>-'Cash Flow'!BA7</f>
        <v>3561815.9081601147</v>
      </c>
      <c r="BC8" s="42"/>
      <c r="BD8" s="1">
        <f>-'Cash Flow'!BC7</f>
        <v>3633052.2263233173</v>
      </c>
      <c r="BE8" s="42"/>
      <c r="BF8" s="1">
        <f>-'Cash Flow'!BE7</f>
        <v>3705713.270849783</v>
      </c>
      <c r="BG8" s="42"/>
      <c r="BH8" s="1">
        <f>-'Cash Flow'!BG7</f>
        <v>3779827.536266779</v>
      </c>
      <c r="BI8" s="42"/>
      <c r="BJ8" s="1">
        <f>-'Cash Flow'!BI7</f>
        <v>0</v>
      </c>
      <c r="BK8" s="42"/>
      <c r="BL8" s="1">
        <f>-'Cash Flow'!BK7</f>
        <v>0</v>
      </c>
      <c r="BM8" s="42"/>
      <c r="BN8" s="1">
        <f>-'Cash Flow'!BM7</f>
        <v>0</v>
      </c>
      <c r="BO8" s="42"/>
      <c r="BP8" s="1">
        <f>-'Cash Flow'!BO7</f>
        <v>0</v>
      </c>
      <c r="BQ8" s="42"/>
      <c r="BR8" s="1">
        <f>-'Cash Flow'!BQ7</f>
        <v>0</v>
      </c>
      <c r="BS8" s="42"/>
      <c r="BT8" s="1">
        <f>-'Cash Flow'!BS7</f>
        <v>0</v>
      </c>
      <c r="BU8" s="42"/>
      <c r="BV8" s="1">
        <f>-'Cash Flow'!BU7</f>
        <v>0</v>
      </c>
      <c r="BW8" s="42"/>
      <c r="BX8" s="1">
        <f>-'Cash Flow'!BW7</f>
        <v>0</v>
      </c>
      <c r="BY8" s="42"/>
      <c r="BZ8" s="1">
        <f>-'Cash Flow'!BY7</f>
        <v>0</v>
      </c>
      <c r="CA8" s="42"/>
      <c r="CB8" s="1">
        <f>-'Cash Flow'!CA7</f>
        <v>0</v>
      </c>
      <c r="CC8" s="42"/>
      <c r="CD8" s="1">
        <f>-'Cash Flow'!CC7</f>
        <v>0</v>
      </c>
      <c r="CE8" s="42"/>
      <c r="CF8" s="1">
        <f>-'Cash Flow'!CE7</f>
        <v>0</v>
      </c>
      <c r="CG8" s="42"/>
      <c r="CH8" s="1">
        <f>-'Cash Flow'!CG7</f>
        <v>0</v>
      </c>
      <c r="CI8" s="42"/>
      <c r="CJ8" s="1">
        <f>-'Cash Flow'!CI7</f>
        <v>0</v>
      </c>
      <c r="CK8" s="42"/>
      <c r="CL8" s="1">
        <f>-'Cash Flow'!CK7</f>
        <v>0</v>
      </c>
      <c r="CM8" s="42"/>
      <c r="CN8" s="1">
        <f>-'Cash Flow'!CM7</f>
        <v>0</v>
      </c>
      <c r="CO8" s="42"/>
      <c r="CP8" s="1">
        <f>-'Cash Flow'!CO7</f>
        <v>0</v>
      </c>
      <c r="CQ8" s="42"/>
      <c r="CR8" s="1">
        <f>-'Cash Flow'!CQ7</f>
        <v>0</v>
      </c>
      <c r="CS8" s="42"/>
      <c r="CT8" s="1">
        <f>-'Cash Flow'!CS7</f>
        <v>0</v>
      </c>
      <c r="CU8" s="42"/>
      <c r="CV8" s="1">
        <f>-'Cash Flow'!CU7</f>
        <v>0</v>
      </c>
      <c r="CW8" s="42"/>
      <c r="CX8" s="1">
        <f>-'Cash Flow'!CW7</f>
        <v>0</v>
      </c>
      <c r="CY8" s="42"/>
      <c r="CZ8" s="1">
        <f>-'Cash Flow'!CY7</f>
        <v>0</v>
      </c>
      <c r="DA8" s="42"/>
      <c r="DB8" s="1">
        <f>-'Cash Flow'!DA7</f>
        <v>0</v>
      </c>
      <c r="DC8" s="42"/>
      <c r="DD8" s="1">
        <f>-'Cash Flow'!DC7</f>
        <v>0</v>
      </c>
      <c r="DE8" s="42"/>
      <c r="DF8" s="1">
        <f>-'Cash Flow'!DE7</f>
        <v>0</v>
      </c>
      <c r="DG8" s="42"/>
    </row>
    <row r="9" spans="1:111" ht="12.75" customHeight="1" thickBot="1">
      <c r="A9" s="2"/>
      <c r="B9" s="2"/>
      <c r="C9" s="2"/>
      <c r="D9" s="2"/>
      <c r="E9" s="2"/>
      <c r="J9" s="1"/>
      <c r="K9" s="42"/>
      <c r="L9" s="1"/>
      <c r="M9" s="42"/>
      <c r="N9" s="1"/>
      <c r="O9" s="42"/>
      <c r="P9" s="1"/>
      <c r="Q9" s="42"/>
      <c r="R9" s="1"/>
      <c r="S9" s="42"/>
      <c r="T9" s="1"/>
      <c r="U9" s="42"/>
      <c r="V9" s="1"/>
      <c r="W9" s="42"/>
      <c r="X9" s="1"/>
      <c r="Y9" s="42"/>
      <c r="Z9" s="1"/>
      <c r="AA9" s="42"/>
      <c r="AB9" s="1"/>
      <c r="AC9" s="42"/>
      <c r="AD9" s="1"/>
      <c r="AE9" s="42"/>
      <c r="AF9" s="1"/>
      <c r="AG9" s="42"/>
      <c r="AH9" s="1"/>
      <c r="AI9" s="42"/>
      <c r="AJ9" s="1"/>
      <c r="AK9" s="42"/>
      <c r="AL9" s="1"/>
      <c r="AM9" s="42"/>
      <c r="AN9" s="1"/>
      <c r="AO9" s="42"/>
      <c r="AP9" s="1"/>
      <c r="AQ9" s="42"/>
      <c r="AR9" s="1"/>
      <c r="AS9" s="42"/>
      <c r="AT9" s="1"/>
      <c r="AU9" s="42"/>
      <c r="AV9" s="1"/>
      <c r="AW9" s="42"/>
      <c r="AX9" s="1"/>
      <c r="AY9" s="42"/>
      <c r="AZ9" s="1"/>
      <c r="BA9" s="42"/>
      <c r="BB9" s="1"/>
      <c r="BC9" s="42"/>
      <c r="BD9" s="1"/>
      <c r="BE9" s="42"/>
      <c r="BF9" s="1"/>
      <c r="BG9" s="42"/>
      <c r="BH9" s="1"/>
      <c r="BI9" s="42"/>
      <c r="BJ9" s="1"/>
      <c r="BK9" s="42"/>
      <c r="BL9" s="1"/>
      <c r="BM9" s="42"/>
      <c r="BN9" s="1"/>
      <c r="BO9" s="42"/>
      <c r="BP9" s="1"/>
      <c r="BQ9" s="42"/>
      <c r="BR9" s="1"/>
      <c r="BS9" s="42"/>
      <c r="BT9" s="1"/>
      <c r="BU9" s="42"/>
      <c r="BV9" s="1"/>
      <c r="BW9" s="42"/>
      <c r="BX9" s="1"/>
      <c r="BY9" s="42"/>
      <c r="BZ9" s="1"/>
      <c r="CA9" s="42"/>
      <c r="CB9" s="1"/>
      <c r="CC9" s="42"/>
      <c r="CD9" s="1"/>
      <c r="CE9" s="42"/>
      <c r="CF9" s="1"/>
      <c r="CG9" s="42"/>
      <c r="CH9" s="1"/>
      <c r="CI9" s="42"/>
      <c r="CJ9" s="1"/>
      <c r="CK9" s="42"/>
      <c r="CL9" s="1"/>
      <c r="CM9" s="42"/>
      <c r="CN9" s="1"/>
      <c r="CO9" s="42"/>
      <c r="CP9" s="1"/>
      <c r="CQ9" s="42"/>
      <c r="CR9" s="1"/>
      <c r="CS9" s="42"/>
      <c r="CT9" s="1"/>
      <c r="CU9" s="42"/>
      <c r="CV9" s="1"/>
      <c r="CW9" s="42"/>
      <c r="CX9" s="1"/>
      <c r="CY9" s="42"/>
      <c r="CZ9" s="1"/>
      <c r="DA9" s="42"/>
      <c r="DB9" s="1"/>
      <c r="DC9" s="42"/>
      <c r="DD9" s="1"/>
      <c r="DE9" s="42"/>
      <c r="DF9" s="1"/>
      <c r="DG9" s="42"/>
    </row>
    <row r="10" spans="1:111" ht="12.75" customHeight="1">
      <c r="A10" s="2"/>
      <c r="B10" s="2"/>
      <c r="C10" s="15" t="s">
        <v>128</v>
      </c>
      <c r="D10" s="2"/>
      <c r="E10" s="2"/>
      <c r="J10" s="61">
        <f>J6-J8</f>
        <v>0</v>
      </c>
      <c r="K10" s="42"/>
      <c r="L10" s="61">
        <f>L6-L8</f>
        <v>12422864</v>
      </c>
      <c r="M10" s="42"/>
      <c r="N10" s="61">
        <f>N6-N8</f>
        <v>14278956.479999997</v>
      </c>
      <c r="O10" s="42"/>
      <c r="P10" s="61">
        <f>P6-P8</f>
        <v>15284234.784000002</v>
      </c>
      <c r="Q10" s="42"/>
      <c r="R10" s="61">
        <f>R6-R8</f>
        <v>15412627.73184</v>
      </c>
      <c r="S10" s="42"/>
      <c r="T10" s="61">
        <f>T6-T8</f>
        <v>15541815.6211584</v>
      </c>
      <c r="U10" s="42"/>
      <c r="V10" s="61">
        <f>V6-V8</f>
        <v>15671796.621609982</v>
      </c>
      <c r="W10" s="42"/>
      <c r="X10" s="61">
        <f>X6-X8</f>
        <v>15802568.688950887</v>
      </c>
      <c r="Y10" s="42"/>
      <c r="Z10" s="61">
        <f>Z6-Z8</f>
        <v>15934129.558987686</v>
      </c>
      <c r="AA10" s="42"/>
      <c r="AB10" s="61">
        <f>AB6-AB8</f>
        <v>16066476.74138781</v>
      </c>
      <c r="AC10" s="42"/>
      <c r="AD10" s="61">
        <f>AD6-AD8</f>
        <v>16199607.513348136</v>
      </c>
      <c r="AE10" s="42"/>
      <c r="AF10" s="61">
        <f>AF6-AF8</f>
        <v>16333518.913118996</v>
      </c>
      <c r="AG10" s="42"/>
      <c r="AH10" s="61">
        <f>AH6-AH8</f>
        <v>16468207.733380303</v>
      </c>
      <c r="AI10" s="42"/>
      <c r="AJ10" s="61">
        <f>AJ6-AJ8</f>
        <v>16603670.514466831</v>
      </c>
      <c r="AK10" s="42"/>
      <c r="AL10" s="61">
        <f>AL6-AL8</f>
        <v>16739903.537439281</v>
      </c>
      <c r="AM10" s="42"/>
      <c r="AN10" s="61">
        <f>AN6-AN8</f>
        <v>16876902.816998012</v>
      </c>
      <c r="AO10" s="42"/>
      <c r="AP10" s="61">
        <f>AP6-AP8</f>
        <v>17014664.09423601</v>
      </c>
      <c r="AQ10" s="42"/>
      <c r="AR10" s="61">
        <f>AR6-AR8</f>
        <v>17153182.829227757</v>
      </c>
      <c r="AS10" s="42"/>
      <c r="AT10" s="61">
        <f>AT6-AT8</f>
        <v>17292454.19345041</v>
      </c>
      <c r="AU10" s="42"/>
      <c r="AV10" s="61">
        <f>AV6-AV8</f>
        <v>17432473.06203389</v>
      </c>
      <c r="AW10" s="42"/>
      <c r="AX10" s="61">
        <f>AX6-AX8</f>
        <v>17573234.005836185</v>
      </c>
      <c r="AY10" s="42"/>
      <c r="AZ10" s="61">
        <f>AZ6-AZ8</f>
        <v>17714731.28334014</v>
      </c>
      <c r="BA10" s="42"/>
      <c r="BB10" s="61">
        <f>BB6-BB8</f>
        <v>17856958.832368053</v>
      </c>
      <c r="BC10" s="42"/>
      <c r="BD10" s="61">
        <f>BD6-BD8</f>
        <v>17999910.261610135</v>
      </c>
      <c r="BE10" s="42"/>
      <c r="BF10" s="61">
        <f>BF6-BF8</f>
        <v>18143578.841963</v>
      </c>
      <c r="BG10" s="42"/>
      <c r="BH10" s="61">
        <f>BH6-BH8</f>
        <v>18287957.49767414</v>
      </c>
      <c r="BI10" s="42"/>
      <c r="BJ10" s="61">
        <f>BJ6-BJ8</f>
        <v>0</v>
      </c>
      <c r="BK10" s="42"/>
      <c r="BL10" s="61">
        <f>BL6-BL8</f>
        <v>0</v>
      </c>
      <c r="BM10" s="42"/>
      <c r="BN10" s="61">
        <f>BN6-BN8</f>
        <v>0</v>
      </c>
      <c r="BO10" s="42"/>
      <c r="BP10" s="61">
        <f>BP6-BP8</f>
        <v>0</v>
      </c>
      <c r="BQ10" s="42"/>
      <c r="BR10" s="61">
        <f>BR6-BR8</f>
        <v>0</v>
      </c>
      <c r="BS10" s="42"/>
      <c r="BT10" s="61">
        <f>BT6-BT8</f>
        <v>0</v>
      </c>
      <c r="BU10" s="42"/>
      <c r="BV10" s="61">
        <f>BV6-BV8</f>
        <v>0</v>
      </c>
      <c r="BW10" s="42"/>
      <c r="BX10" s="61">
        <f>BX6-BX8</f>
        <v>0</v>
      </c>
      <c r="BY10" s="42"/>
      <c r="BZ10" s="61">
        <f>BZ6-BZ8</f>
        <v>0</v>
      </c>
      <c r="CA10" s="42"/>
      <c r="CB10" s="61">
        <f>CB6-CB8</f>
        <v>0</v>
      </c>
      <c r="CC10" s="42"/>
      <c r="CD10" s="61">
        <f>CD6-CD8</f>
        <v>0</v>
      </c>
      <c r="CE10" s="42"/>
      <c r="CF10" s="61">
        <f>CF6-CF8</f>
        <v>0</v>
      </c>
      <c r="CG10" s="42"/>
      <c r="CH10" s="61">
        <f>CH6-CH8</f>
        <v>0</v>
      </c>
      <c r="CI10" s="42"/>
      <c r="CJ10" s="61">
        <f>CJ6-CJ8</f>
        <v>0</v>
      </c>
      <c r="CK10" s="42"/>
      <c r="CL10" s="61">
        <f>CL6-CL8</f>
        <v>0</v>
      </c>
      <c r="CM10" s="42"/>
      <c r="CN10" s="61">
        <f>CN6-CN8</f>
        <v>0</v>
      </c>
      <c r="CO10" s="42"/>
      <c r="CP10" s="61">
        <f>CP6-CP8</f>
        <v>0</v>
      </c>
      <c r="CQ10" s="42"/>
      <c r="CR10" s="61">
        <f>CR6-CR8</f>
        <v>0</v>
      </c>
      <c r="CS10" s="42"/>
      <c r="CT10" s="61">
        <f>CT6-CT8</f>
        <v>0</v>
      </c>
      <c r="CU10" s="42"/>
      <c r="CV10" s="61">
        <f>CV6-CV8</f>
        <v>0</v>
      </c>
      <c r="CW10" s="42"/>
      <c r="CX10" s="61">
        <f>CX6-CX8</f>
        <v>0</v>
      </c>
      <c r="CY10" s="42"/>
      <c r="CZ10" s="61">
        <f>CZ6-CZ8</f>
        <v>0</v>
      </c>
      <c r="DA10" s="42"/>
      <c r="DB10" s="61">
        <f>DB6-DB8</f>
        <v>0</v>
      </c>
      <c r="DC10" s="42"/>
      <c r="DD10" s="61">
        <f>DD6-DD8</f>
        <v>0</v>
      </c>
      <c r="DE10" s="42"/>
      <c r="DF10" s="61">
        <f>DF6-DF8</f>
        <v>0</v>
      </c>
      <c r="DG10" s="42"/>
    </row>
    <row r="11" spans="1:111" ht="12.75" customHeight="1">
      <c r="A11" s="2"/>
      <c r="B11" s="2"/>
      <c r="C11" s="15"/>
      <c r="D11" s="2"/>
      <c r="E11" s="2"/>
      <c r="J11" s="1"/>
      <c r="K11" s="42"/>
      <c r="L11" s="1"/>
      <c r="M11" s="42"/>
      <c r="N11" s="1"/>
      <c r="O11" s="42"/>
      <c r="P11" s="1"/>
      <c r="Q11" s="42"/>
      <c r="R11" s="1"/>
      <c r="S11" s="42"/>
      <c r="T11" s="1"/>
      <c r="U11" s="42"/>
      <c r="V11" s="1"/>
      <c r="W11" s="42"/>
      <c r="X11" s="1"/>
      <c r="Y11" s="42"/>
      <c r="Z11" s="1"/>
      <c r="AA11" s="42"/>
      <c r="AB11" s="1"/>
      <c r="AC11" s="42"/>
      <c r="AD11" s="1"/>
      <c r="AE11" s="42"/>
      <c r="AF11" s="1"/>
      <c r="AG11" s="42"/>
      <c r="AH11" s="1"/>
      <c r="AI11" s="42"/>
      <c r="AJ11" s="1"/>
      <c r="AK11" s="42"/>
      <c r="AL11" s="1"/>
      <c r="AM11" s="42"/>
      <c r="AN11" s="1"/>
      <c r="AO11" s="42"/>
      <c r="AP11" s="1"/>
      <c r="AQ11" s="42"/>
      <c r="AR11" s="1"/>
      <c r="AS11" s="42"/>
      <c r="AT11" s="1"/>
      <c r="AU11" s="42"/>
      <c r="AV11" s="1"/>
      <c r="AW11" s="42"/>
      <c r="AX11" s="1"/>
      <c r="AY11" s="42"/>
      <c r="AZ11" s="1"/>
      <c r="BA11" s="42"/>
      <c r="BB11" s="1"/>
      <c r="BC11" s="42"/>
      <c r="BD11" s="1"/>
      <c r="BE11" s="42"/>
      <c r="BF11" s="1"/>
      <c r="BG11" s="42"/>
      <c r="BH11" s="1"/>
      <c r="BI11" s="42"/>
      <c r="BJ11" s="1"/>
      <c r="BK11" s="42"/>
      <c r="BL11" s="1"/>
      <c r="BM11" s="42"/>
      <c r="BN11" s="1"/>
      <c r="BO11" s="42"/>
      <c r="BP11" s="1"/>
      <c r="BQ11" s="42"/>
      <c r="BR11" s="1"/>
      <c r="BS11" s="42"/>
      <c r="BT11" s="1"/>
      <c r="BU11" s="42"/>
      <c r="BV11" s="1"/>
      <c r="BW11" s="42"/>
      <c r="BX11" s="1"/>
      <c r="BY11" s="42"/>
      <c r="BZ11" s="1"/>
      <c r="CA11" s="42"/>
      <c r="CB11" s="1"/>
      <c r="CC11" s="42"/>
      <c r="CD11" s="1"/>
      <c r="CE11" s="42"/>
      <c r="CF11" s="1"/>
      <c r="CG11" s="42"/>
      <c r="CH11" s="1"/>
      <c r="CI11" s="42"/>
      <c r="CJ11" s="1"/>
      <c r="CK11" s="42"/>
      <c r="CL11" s="1"/>
      <c r="CM11" s="42"/>
      <c r="CN11" s="1"/>
      <c r="CO11" s="42"/>
      <c r="CP11" s="1"/>
      <c r="CQ11" s="42"/>
      <c r="CR11" s="1"/>
      <c r="CS11" s="42"/>
      <c r="CT11" s="1"/>
      <c r="CU11" s="42"/>
      <c r="CV11" s="1"/>
      <c r="CW11" s="42"/>
      <c r="CX11" s="1"/>
      <c r="CY11" s="42"/>
      <c r="CZ11" s="1"/>
      <c r="DA11" s="42"/>
      <c r="DB11" s="1"/>
      <c r="DC11" s="42"/>
      <c r="DD11" s="1"/>
      <c r="DE11" s="42"/>
      <c r="DF11" s="1"/>
      <c r="DG11" s="42"/>
    </row>
    <row r="12" spans="1:111" ht="12.75" customHeight="1">
      <c r="A12" s="2"/>
      <c r="B12" s="2"/>
      <c r="C12" s="2"/>
      <c r="D12" s="2" t="s">
        <v>70</v>
      </c>
      <c r="E12" s="2"/>
      <c r="J12" s="1">
        <f>-'Cash Flow'!I26</f>
        <v>0</v>
      </c>
      <c r="K12" s="42"/>
      <c r="L12" s="1">
        <f>-'Cash Flow'!K26</f>
        <v>4478495.762711864</v>
      </c>
      <c r="M12" s="42"/>
      <c r="N12" s="1">
        <f>-'Cash Flow'!M26</f>
        <v>4478495.762711864</v>
      </c>
      <c r="O12" s="42"/>
      <c r="P12" s="1">
        <f>-'Cash Flow'!O26</f>
        <v>4478495.762711864</v>
      </c>
      <c r="Q12" s="42"/>
      <c r="R12" s="1">
        <f>-'Cash Flow'!Q26</f>
        <v>4478495.762711864</v>
      </c>
      <c r="S12" s="42"/>
      <c r="T12" s="1">
        <f>-'Cash Flow'!S26</f>
        <v>4478495.762711864</v>
      </c>
      <c r="U12" s="42"/>
      <c r="V12" s="1">
        <f>-'Cash Flow'!U26</f>
        <v>4478495.762711864</v>
      </c>
      <c r="W12" s="42"/>
      <c r="X12" s="1">
        <f>-'Cash Flow'!W26</f>
        <v>4478495.762711864</v>
      </c>
      <c r="Y12" s="42"/>
      <c r="Z12" s="1">
        <f>-'Cash Flow'!Y26</f>
        <v>4478495.762711864</v>
      </c>
      <c r="AA12" s="42"/>
      <c r="AB12" s="1">
        <f>-'Cash Flow'!AA26</f>
        <v>4478495.762711864</v>
      </c>
      <c r="AC12" s="42"/>
      <c r="AD12" s="1">
        <f>-'Cash Flow'!AC26</f>
        <v>4478495.762711864</v>
      </c>
      <c r="AE12" s="42"/>
      <c r="AF12" s="1">
        <f>-'Cash Flow'!AE26</f>
        <v>4478495.762711864</v>
      </c>
      <c r="AG12" s="42"/>
      <c r="AH12" s="1">
        <f>-'Cash Flow'!AG26</f>
        <v>4478495.762711864</v>
      </c>
      <c r="AI12" s="42"/>
      <c r="AJ12" s="1">
        <f>-'Cash Flow'!AI26</f>
        <v>4478495.762711864</v>
      </c>
      <c r="AK12" s="42"/>
      <c r="AL12" s="1">
        <f>-'Cash Flow'!AK26</f>
        <v>4478495.762711864</v>
      </c>
      <c r="AM12" s="42"/>
      <c r="AN12" s="1">
        <f>-'Cash Flow'!AM26</f>
        <v>4478495.762711864</v>
      </c>
      <c r="AO12" s="42"/>
      <c r="AP12" s="1">
        <f>-'Cash Flow'!AO26</f>
        <v>4478495.762711864</v>
      </c>
      <c r="AQ12" s="42"/>
      <c r="AR12" s="1">
        <f>-'Cash Flow'!AQ26</f>
        <v>4478495.762711864</v>
      </c>
      <c r="AS12" s="42"/>
      <c r="AT12" s="1">
        <f>-'Cash Flow'!AS26</f>
        <v>4478495.762711864</v>
      </c>
      <c r="AU12" s="42"/>
      <c r="AV12" s="1">
        <f>-'Cash Flow'!AU26</f>
        <v>4478495.762711864</v>
      </c>
      <c r="AW12" s="42"/>
      <c r="AX12" s="1">
        <f>-'Cash Flow'!AW26</f>
        <v>4478495.762711864</v>
      </c>
      <c r="AY12" s="42"/>
      <c r="AZ12" s="1">
        <f>-'Cash Flow'!AY26</f>
        <v>0</v>
      </c>
      <c r="BA12" s="42"/>
      <c r="BB12" s="1">
        <f>-'Cash Flow'!BA26</f>
        <v>0</v>
      </c>
      <c r="BC12" s="42"/>
      <c r="BD12" s="1">
        <f>-'Cash Flow'!BC26</f>
        <v>0</v>
      </c>
      <c r="BE12" s="42"/>
      <c r="BF12" s="1">
        <f>-'Cash Flow'!BE26</f>
        <v>0</v>
      </c>
      <c r="BG12" s="42"/>
      <c r="BH12" s="1">
        <f>-'Cash Flow'!BG26</f>
        <v>0</v>
      </c>
      <c r="BI12" s="42"/>
      <c r="BJ12" s="1">
        <f>-'Cash Flow'!BI26</f>
        <v>0</v>
      </c>
      <c r="BK12" s="42"/>
      <c r="BL12" s="1">
        <f>-'Cash Flow'!BK26</f>
        <v>0</v>
      </c>
      <c r="BM12" s="42"/>
      <c r="BN12" s="1">
        <f>-'Cash Flow'!BM26</f>
        <v>0</v>
      </c>
      <c r="BO12" s="42"/>
      <c r="BP12" s="1">
        <f>-'Cash Flow'!BO26</f>
        <v>0</v>
      </c>
      <c r="BQ12" s="42"/>
      <c r="BR12" s="1">
        <f>-'Cash Flow'!BQ26</f>
        <v>0</v>
      </c>
      <c r="BS12" s="42"/>
      <c r="BT12" s="1">
        <f>-'Cash Flow'!BS26</f>
        <v>0</v>
      </c>
      <c r="BU12" s="42"/>
      <c r="BV12" s="1">
        <f>-'Cash Flow'!BU26</f>
        <v>0</v>
      </c>
      <c r="BW12" s="42"/>
      <c r="BX12" s="1">
        <f>-'Cash Flow'!BW26</f>
        <v>0</v>
      </c>
      <c r="BY12" s="42"/>
      <c r="BZ12" s="1">
        <f>-'Cash Flow'!BY26</f>
        <v>0</v>
      </c>
      <c r="CA12" s="42"/>
      <c r="CB12" s="1">
        <f>-'Cash Flow'!CA26</f>
        <v>0</v>
      </c>
      <c r="CC12" s="42"/>
      <c r="CD12" s="1">
        <f>-'Cash Flow'!CC26</f>
        <v>0</v>
      </c>
      <c r="CE12" s="42"/>
      <c r="CF12" s="1">
        <f>-'Cash Flow'!CE26</f>
        <v>0</v>
      </c>
      <c r="CG12" s="42"/>
      <c r="CH12" s="1">
        <f>-'Cash Flow'!CG26</f>
        <v>0</v>
      </c>
      <c r="CI12" s="42"/>
      <c r="CJ12" s="1">
        <f>-'Cash Flow'!CI26</f>
        <v>0</v>
      </c>
      <c r="CK12" s="42"/>
      <c r="CL12" s="1">
        <f>-'Cash Flow'!CK26</f>
        <v>0</v>
      </c>
      <c r="CM12" s="42"/>
      <c r="CN12" s="1">
        <f>-'Cash Flow'!CM26</f>
        <v>0</v>
      </c>
      <c r="CO12" s="42"/>
      <c r="CP12" s="1">
        <f>-'Cash Flow'!CO26</f>
        <v>0</v>
      </c>
      <c r="CQ12" s="42"/>
      <c r="CR12" s="1">
        <f>-'Cash Flow'!CQ26</f>
        <v>0</v>
      </c>
      <c r="CS12" s="42"/>
      <c r="CT12" s="1">
        <f>-'Cash Flow'!CS26</f>
        <v>0</v>
      </c>
      <c r="CU12" s="42"/>
      <c r="CV12" s="1">
        <f>-'Cash Flow'!CU26</f>
        <v>0</v>
      </c>
      <c r="CW12" s="42"/>
      <c r="CX12" s="1">
        <f>-'Cash Flow'!CW26</f>
        <v>0</v>
      </c>
      <c r="CY12" s="42"/>
      <c r="CZ12" s="1">
        <f>-'Cash Flow'!CY26</f>
        <v>0</v>
      </c>
      <c r="DA12" s="42"/>
      <c r="DB12" s="1">
        <f>-'Cash Flow'!DA26</f>
        <v>0</v>
      </c>
      <c r="DC12" s="42"/>
      <c r="DD12" s="1">
        <f>-'Cash Flow'!DC26</f>
        <v>0</v>
      </c>
      <c r="DE12" s="42"/>
      <c r="DF12" s="1">
        <f>-'Cash Flow'!DE26</f>
        <v>0</v>
      </c>
      <c r="DG12" s="42"/>
    </row>
    <row r="13" spans="1:111" ht="12.75" customHeight="1">
      <c r="A13" s="2"/>
      <c r="B13" s="2"/>
      <c r="C13" s="2"/>
      <c r="D13" s="2" t="s">
        <v>79</v>
      </c>
      <c r="E13" s="2"/>
      <c r="J13" s="1">
        <f>-'Cash Flow'!I8</f>
        <v>3000000</v>
      </c>
      <c r="K13" s="42"/>
      <c r="L13" s="1">
        <f>-'Cash Flow'!K8</f>
        <v>936000</v>
      </c>
      <c r="M13" s="42"/>
      <c r="N13" s="1">
        <f>-'Cash Flow'!M8</f>
        <v>954720</v>
      </c>
      <c r="O13" s="42"/>
      <c r="P13" s="1">
        <f>-'Cash Flow'!O8</f>
        <v>973814.4</v>
      </c>
      <c r="Q13" s="42"/>
      <c r="R13" s="1">
        <f>-'Cash Flow'!Q8</f>
        <v>993290.688</v>
      </c>
      <c r="S13" s="42"/>
      <c r="T13" s="1">
        <f>-'Cash Flow'!S8</f>
        <v>1013156.50176</v>
      </c>
      <c r="U13" s="42"/>
      <c r="V13" s="1">
        <f>-'Cash Flow'!U8</f>
        <v>1033419.6317952</v>
      </c>
      <c r="W13" s="42"/>
      <c r="X13" s="1">
        <f>-'Cash Flow'!W8</f>
        <v>1054088.024431104</v>
      </c>
      <c r="Y13" s="42"/>
      <c r="Z13" s="1">
        <f>-'Cash Flow'!Y8</f>
        <v>1075169.784919726</v>
      </c>
      <c r="AA13" s="42"/>
      <c r="AB13" s="1">
        <f>-'Cash Flow'!AA8</f>
        <v>1096673.1806181206</v>
      </c>
      <c r="AC13" s="42"/>
      <c r="AD13" s="1">
        <f>-'Cash Flow'!AC8</f>
        <v>1118606.6442304829</v>
      </c>
      <c r="AE13" s="42"/>
      <c r="AF13" s="1">
        <f>-'Cash Flow'!AE8</f>
        <v>1140978.7771150926</v>
      </c>
      <c r="AG13" s="42"/>
      <c r="AH13" s="1">
        <f>-'Cash Flow'!AG8</f>
        <v>1163798.3526573943</v>
      </c>
      <c r="AI13" s="42"/>
      <c r="AJ13" s="1">
        <f>-'Cash Flow'!AI8</f>
        <v>1187074.3197105424</v>
      </c>
      <c r="AK13" s="42"/>
      <c r="AL13" s="1">
        <f>-'Cash Flow'!AK8</f>
        <v>1210815.8061047532</v>
      </c>
      <c r="AM13" s="42"/>
      <c r="AN13" s="1">
        <f>-'Cash Flow'!AM8</f>
        <v>1235032.1222268483</v>
      </c>
      <c r="AO13" s="42"/>
      <c r="AP13" s="1">
        <f>-'Cash Flow'!AO8</f>
        <v>1259732.764671385</v>
      </c>
      <c r="AQ13" s="42"/>
      <c r="AR13" s="1">
        <f>-'Cash Flow'!AQ8</f>
        <v>1284927.419964813</v>
      </c>
      <c r="AS13" s="42"/>
      <c r="AT13" s="1">
        <f>-'Cash Flow'!AS8</f>
        <v>1310625.9683641093</v>
      </c>
      <c r="AU13" s="42"/>
      <c r="AV13" s="1">
        <f>-'Cash Flow'!AU8</f>
        <v>1336838.4877313913</v>
      </c>
      <c r="AW13" s="42"/>
      <c r="AX13" s="1">
        <f>-'Cash Flow'!AW8</f>
        <v>1363575.257486019</v>
      </c>
      <c r="AY13" s="42"/>
      <c r="AZ13" s="1">
        <f>-'Cash Flow'!AY8</f>
        <v>1390846.7626357395</v>
      </c>
      <c r="BA13" s="42"/>
      <c r="BB13" s="1">
        <f>-'Cash Flow'!BA8</f>
        <v>1418663.6978884542</v>
      </c>
      <c r="BC13" s="42"/>
      <c r="BD13" s="1">
        <f>-'Cash Flow'!BC8</f>
        <v>1447036.9718462233</v>
      </c>
      <c r="BE13" s="42"/>
      <c r="BF13" s="1">
        <f>-'Cash Flow'!BE8</f>
        <v>1475977.7112831476</v>
      </c>
      <c r="BG13" s="42"/>
      <c r="BH13" s="1">
        <f>-'Cash Flow'!BG8</f>
        <v>1505497.2655088105</v>
      </c>
      <c r="BI13" s="42"/>
      <c r="BJ13" s="1">
        <f>-'Cash Flow'!BI8</f>
        <v>0</v>
      </c>
      <c r="BK13" s="42"/>
      <c r="BL13" s="1">
        <f>-'Cash Flow'!BK8</f>
        <v>0</v>
      </c>
      <c r="BM13" s="42"/>
      <c r="BN13" s="1">
        <f>-'Cash Flow'!BM8</f>
        <v>0</v>
      </c>
      <c r="BO13" s="42"/>
      <c r="BP13" s="1">
        <f>-'Cash Flow'!BO8</f>
        <v>0</v>
      </c>
      <c r="BQ13" s="42"/>
      <c r="BR13" s="1">
        <f>-'Cash Flow'!BQ8</f>
        <v>0</v>
      </c>
      <c r="BS13" s="42"/>
      <c r="BT13" s="1">
        <f>-'Cash Flow'!BS8</f>
        <v>0</v>
      </c>
      <c r="BU13" s="42"/>
      <c r="BV13" s="1">
        <f>-'Cash Flow'!BU8</f>
        <v>0</v>
      </c>
      <c r="BW13" s="42"/>
      <c r="BX13" s="1">
        <f>-'Cash Flow'!BW8</f>
        <v>0</v>
      </c>
      <c r="BY13" s="42"/>
      <c r="BZ13" s="1">
        <f>-'Cash Flow'!BY8</f>
        <v>0</v>
      </c>
      <c r="CA13" s="42"/>
      <c r="CB13" s="1">
        <f>-'Cash Flow'!CA8</f>
        <v>0</v>
      </c>
      <c r="CC13" s="42"/>
      <c r="CD13" s="1">
        <f>-'Cash Flow'!CC8</f>
        <v>0</v>
      </c>
      <c r="CE13" s="42"/>
      <c r="CF13" s="1">
        <f>-'Cash Flow'!CE8</f>
        <v>0</v>
      </c>
      <c r="CG13" s="42"/>
      <c r="CH13" s="1">
        <f>-'Cash Flow'!CG8</f>
        <v>0</v>
      </c>
      <c r="CI13" s="42"/>
      <c r="CJ13" s="1">
        <f>-'Cash Flow'!CI8</f>
        <v>0</v>
      </c>
      <c r="CK13" s="42"/>
      <c r="CL13" s="1">
        <f>-'Cash Flow'!CK8</f>
        <v>0</v>
      </c>
      <c r="CM13" s="42"/>
      <c r="CN13" s="1">
        <f>-'Cash Flow'!CM8</f>
        <v>0</v>
      </c>
      <c r="CO13" s="42"/>
      <c r="CP13" s="1">
        <f>-'Cash Flow'!CO8</f>
        <v>0</v>
      </c>
      <c r="CQ13" s="42"/>
      <c r="CR13" s="1">
        <f>-'Cash Flow'!CQ8</f>
        <v>0</v>
      </c>
      <c r="CS13" s="42"/>
      <c r="CT13" s="1">
        <f>-'Cash Flow'!CS8</f>
        <v>0</v>
      </c>
      <c r="CU13" s="42"/>
      <c r="CV13" s="1">
        <f>-'Cash Flow'!CU8</f>
        <v>0</v>
      </c>
      <c r="CW13" s="42"/>
      <c r="CX13" s="1">
        <f>-'Cash Flow'!CW8</f>
        <v>0</v>
      </c>
      <c r="CY13" s="42"/>
      <c r="CZ13" s="1">
        <f>-'Cash Flow'!CY8</f>
        <v>0</v>
      </c>
      <c r="DA13" s="42"/>
      <c r="DB13" s="1">
        <f>-'Cash Flow'!DA8</f>
        <v>0</v>
      </c>
      <c r="DC13" s="42"/>
      <c r="DD13" s="1">
        <f>-'Cash Flow'!DC8</f>
        <v>0</v>
      </c>
      <c r="DE13" s="42"/>
      <c r="DF13" s="1">
        <f>-'Cash Flow'!DE8</f>
        <v>0</v>
      </c>
      <c r="DG13" s="42"/>
    </row>
    <row r="14" spans="1:111" ht="12.75" customHeight="1" thickBot="1">
      <c r="A14" s="2"/>
      <c r="B14" s="2"/>
      <c r="C14" s="2"/>
      <c r="D14" s="2"/>
      <c r="E14" s="2"/>
      <c r="J14" s="1"/>
      <c r="K14" s="42"/>
      <c r="L14" s="1"/>
      <c r="M14" s="42"/>
      <c r="N14" s="1"/>
      <c r="O14" s="42"/>
      <c r="P14" s="1"/>
      <c r="Q14" s="42"/>
      <c r="R14" s="1"/>
      <c r="S14" s="42"/>
      <c r="T14" s="1"/>
      <c r="U14" s="42"/>
      <c r="V14" s="1"/>
      <c r="W14" s="42"/>
      <c r="X14" s="1"/>
      <c r="Y14" s="42"/>
      <c r="Z14" s="1"/>
      <c r="AA14" s="42"/>
      <c r="AB14" s="1"/>
      <c r="AC14" s="42"/>
      <c r="AD14" s="1"/>
      <c r="AE14" s="42"/>
      <c r="AF14" s="1"/>
      <c r="AG14" s="42"/>
      <c r="AH14" s="1"/>
      <c r="AI14" s="42"/>
      <c r="AJ14" s="1"/>
      <c r="AK14" s="42"/>
      <c r="AL14" s="1"/>
      <c r="AM14" s="42"/>
      <c r="AN14" s="1"/>
      <c r="AO14" s="42"/>
      <c r="AP14" s="1"/>
      <c r="AQ14" s="42"/>
      <c r="AR14" s="1"/>
      <c r="AS14" s="42"/>
      <c r="AT14" s="1"/>
      <c r="AU14" s="42"/>
      <c r="AV14" s="1"/>
      <c r="AW14" s="42"/>
      <c r="AX14" s="1"/>
      <c r="AY14" s="42"/>
      <c r="AZ14" s="1"/>
      <c r="BA14" s="42"/>
      <c r="BB14" s="1"/>
      <c r="BC14" s="42"/>
      <c r="BD14" s="1"/>
      <c r="BE14" s="42"/>
      <c r="BF14" s="1"/>
      <c r="BG14" s="42"/>
      <c r="BH14" s="1"/>
      <c r="BI14" s="42"/>
      <c r="BJ14" s="1"/>
      <c r="BK14" s="42"/>
      <c r="BL14" s="1"/>
      <c r="BM14" s="42"/>
      <c r="BN14" s="1"/>
      <c r="BO14" s="42"/>
      <c r="BP14" s="1"/>
      <c r="BQ14" s="42"/>
      <c r="BR14" s="1"/>
      <c r="BS14" s="42"/>
      <c r="BT14" s="1"/>
      <c r="BU14" s="42"/>
      <c r="BV14" s="1"/>
      <c r="BW14" s="42"/>
      <c r="BX14" s="1"/>
      <c r="BY14" s="42"/>
      <c r="BZ14" s="1"/>
      <c r="CA14" s="42"/>
      <c r="CB14" s="1"/>
      <c r="CC14" s="42"/>
      <c r="CD14" s="1"/>
      <c r="CE14" s="42"/>
      <c r="CF14" s="1"/>
      <c r="CG14" s="42"/>
      <c r="CH14" s="1"/>
      <c r="CI14" s="42"/>
      <c r="CJ14" s="1"/>
      <c r="CK14" s="42"/>
      <c r="CL14" s="1"/>
      <c r="CM14" s="42"/>
      <c r="CN14" s="1"/>
      <c r="CO14" s="42"/>
      <c r="CP14" s="1"/>
      <c r="CQ14" s="42"/>
      <c r="CR14" s="1"/>
      <c r="CS14" s="42"/>
      <c r="CT14" s="1"/>
      <c r="CU14" s="42"/>
      <c r="CV14" s="1"/>
      <c r="CW14" s="42"/>
      <c r="CX14" s="1"/>
      <c r="CY14" s="42"/>
      <c r="CZ14" s="1"/>
      <c r="DA14" s="42"/>
      <c r="DB14" s="1"/>
      <c r="DC14" s="42"/>
      <c r="DD14" s="1"/>
      <c r="DE14" s="42"/>
      <c r="DF14" s="1"/>
      <c r="DG14" s="42"/>
    </row>
    <row r="15" spans="1:111" ht="12.75" customHeight="1">
      <c r="A15" s="2"/>
      <c r="B15" s="2"/>
      <c r="C15" s="15" t="s">
        <v>71</v>
      </c>
      <c r="D15" s="2"/>
      <c r="E15" s="2"/>
      <c r="J15" s="61">
        <f>J10-J12-J13</f>
        <v>-3000000</v>
      </c>
      <c r="K15" s="42"/>
      <c r="L15" s="61">
        <f>L10-L12-L13</f>
        <v>7008368.237288136</v>
      </c>
      <c r="M15" s="42"/>
      <c r="N15" s="61">
        <f>N10-N12-N13</f>
        <v>8845740.717288133</v>
      </c>
      <c r="O15" s="42"/>
      <c r="P15" s="61">
        <f>P10-P12-P13</f>
        <v>9831924.621288138</v>
      </c>
      <c r="Q15" s="42"/>
      <c r="R15" s="61">
        <f>R10-R12-R13</f>
        <v>9940841.281128136</v>
      </c>
      <c r="S15" s="42"/>
      <c r="T15" s="61">
        <f>T10-T12-T13</f>
        <v>10050163.356686536</v>
      </c>
      <c r="U15" s="42"/>
      <c r="V15" s="61">
        <f>V10-V12-V13</f>
        <v>10159881.227102919</v>
      </c>
      <c r="W15" s="42"/>
      <c r="X15" s="61">
        <f>X10-X12-X13</f>
        <v>10269984.90180792</v>
      </c>
      <c r="Y15" s="42"/>
      <c r="Z15" s="61">
        <f>Z10-Z12-Z13</f>
        <v>10380464.011356097</v>
      </c>
      <c r="AA15" s="42"/>
      <c r="AB15" s="61">
        <f>AB10-AB12-AB13</f>
        <v>10491307.798057826</v>
      </c>
      <c r="AC15" s="42"/>
      <c r="AD15" s="61">
        <f>AD10-AD12-AD13</f>
        <v>10602505.106405789</v>
      </c>
      <c r="AE15" s="42"/>
      <c r="AF15" s="61">
        <f>AF10-AF12-AF13</f>
        <v>10714044.37329204</v>
      </c>
      <c r="AG15" s="42"/>
      <c r="AH15" s="61">
        <f>AH10-AH12-AH13</f>
        <v>10825913.618011044</v>
      </c>
      <c r="AI15" s="42"/>
      <c r="AJ15" s="61">
        <f>AJ10-AJ12-AJ13</f>
        <v>10938100.432044424</v>
      </c>
      <c r="AK15" s="42"/>
      <c r="AL15" s="61">
        <f>AL10-AL12-AL13</f>
        <v>11050591.968622664</v>
      </c>
      <c r="AM15" s="42"/>
      <c r="AN15" s="61">
        <f>AN10-AN12-AN13</f>
        <v>11163374.9320593</v>
      </c>
      <c r="AO15" s="42"/>
      <c r="AP15" s="61">
        <f>AP10-AP12-AP13</f>
        <v>11276435.56685276</v>
      </c>
      <c r="AQ15" s="42"/>
      <c r="AR15" s="61">
        <f>AR10-AR12-AR13</f>
        <v>11389759.64655108</v>
      </c>
      <c r="AS15" s="42"/>
      <c r="AT15" s="61">
        <f>AT10-AT12-AT13</f>
        <v>11503332.462374438</v>
      </c>
      <c r="AU15" s="42"/>
      <c r="AV15" s="61">
        <f>AV10-AV12-AV13</f>
        <v>11617138.811590636</v>
      </c>
      <c r="AW15" s="42"/>
      <c r="AX15" s="61">
        <f>AX10-AX12-AX13</f>
        <v>11731162.985638302</v>
      </c>
      <c r="AY15" s="42"/>
      <c r="AZ15" s="61">
        <f>AZ10-AZ12-AZ13</f>
        <v>16323884.520704402</v>
      </c>
      <c r="BA15" s="42"/>
      <c r="BB15" s="61">
        <f>BB10-BB12-BB13</f>
        <v>16438295.1344796</v>
      </c>
      <c r="BC15" s="42"/>
      <c r="BD15" s="61">
        <f>BD10-BD12-BD13</f>
        <v>16552873.289763913</v>
      </c>
      <c r="BE15" s="42"/>
      <c r="BF15" s="61">
        <f>BF10-BF12-BF13</f>
        <v>16667601.130679853</v>
      </c>
      <c r="BG15" s="42"/>
      <c r="BH15" s="61">
        <f>BH10-BH12-BH13</f>
        <v>16782460.23216533</v>
      </c>
      <c r="BI15" s="42"/>
      <c r="BJ15" s="61">
        <f>BJ10-BJ12-BJ13</f>
        <v>0</v>
      </c>
      <c r="BK15" s="42"/>
      <c r="BL15" s="61">
        <f>BL10-BL12-BL13</f>
        <v>0</v>
      </c>
      <c r="BM15" s="42"/>
      <c r="BN15" s="61">
        <f>BN10-BN12-BN13</f>
        <v>0</v>
      </c>
      <c r="BO15" s="42"/>
      <c r="BP15" s="61">
        <f>BP10-BP12-BP13</f>
        <v>0</v>
      </c>
      <c r="BQ15" s="42"/>
      <c r="BR15" s="61">
        <f>BR10-BR12-BR13</f>
        <v>0</v>
      </c>
      <c r="BS15" s="42"/>
      <c r="BT15" s="61">
        <f>BT10-BT12-BT13</f>
        <v>0</v>
      </c>
      <c r="BU15" s="42"/>
      <c r="BV15" s="61">
        <f>BV10-BV12-BV13</f>
        <v>0</v>
      </c>
      <c r="BW15" s="42"/>
      <c r="BX15" s="61">
        <f>BX10-BX12-BX13</f>
        <v>0</v>
      </c>
      <c r="BY15" s="42"/>
      <c r="BZ15" s="61">
        <f>BZ10-BZ12-BZ13</f>
        <v>0</v>
      </c>
      <c r="CA15" s="42"/>
      <c r="CB15" s="61">
        <f>CB10-CB12-CB13</f>
        <v>0</v>
      </c>
      <c r="CC15" s="42"/>
      <c r="CD15" s="61">
        <f>CD10-CD12-CD13</f>
        <v>0</v>
      </c>
      <c r="CE15" s="42"/>
      <c r="CF15" s="61">
        <f>CF10-CF12-CF13</f>
        <v>0</v>
      </c>
      <c r="CG15" s="42"/>
      <c r="CH15" s="61">
        <f>CH10-CH12-CH13</f>
        <v>0</v>
      </c>
      <c r="CI15" s="42"/>
      <c r="CJ15" s="61">
        <f>CJ10-CJ12-CJ13</f>
        <v>0</v>
      </c>
      <c r="CK15" s="42"/>
      <c r="CL15" s="61">
        <f>CL10-CL12-CL13</f>
        <v>0</v>
      </c>
      <c r="CM15" s="42"/>
      <c r="CN15" s="61">
        <f>CN10-CN12-CN13</f>
        <v>0</v>
      </c>
      <c r="CO15" s="42"/>
      <c r="CP15" s="61">
        <f>CP10-CP12-CP13</f>
        <v>0</v>
      </c>
      <c r="CQ15" s="42"/>
      <c r="CR15" s="61">
        <f>CR10-CR12-CR13</f>
        <v>0</v>
      </c>
      <c r="CS15" s="42"/>
      <c r="CT15" s="61">
        <f>CT10-CT12-CT13</f>
        <v>0</v>
      </c>
      <c r="CU15" s="42"/>
      <c r="CV15" s="61">
        <f>CV10-CV12-CV13</f>
        <v>0</v>
      </c>
      <c r="CW15" s="42"/>
      <c r="CX15" s="61">
        <f>CX10-CX12-CX13</f>
        <v>0</v>
      </c>
      <c r="CY15" s="42"/>
      <c r="CZ15" s="61">
        <f>CZ10-CZ12-CZ13</f>
        <v>0</v>
      </c>
      <c r="DA15" s="42"/>
      <c r="DB15" s="61">
        <f>DB10-DB12-DB13</f>
        <v>0</v>
      </c>
      <c r="DC15" s="42"/>
      <c r="DD15" s="61">
        <f>DD10-DD12-DD13</f>
        <v>0</v>
      </c>
      <c r="DE15" s="42"/>
      <c r="DF15" s="61">
        <f>DF10-DF12-DF13</f>
        <v>0</v>
      </c>
      <c r="DG15" s="42"/>
    </row>
    <row r="16" spans="4:5" ht="12.75">
      <c r="D16" s="2"/>
      <c r="E16" s="2"/>
    </row>
    <row r="17" spans="1:111" ht="12.75" customHeight="1">
      <c r="A17" s="2"/>
      <c r="B17" s="2"/>
      <c r="C17" s="2"/>
      <c r="D17" s="2" t="s">
        <v>80</v>
      </c>
      <c r="E17" s="2"/>
      <c r="J17" s="1">
        <f>-'Cash Flow'!I16</f>
        <v>0</v>
      </c>
      <c r="K17" s="42"/>
      <c r="L17" s="1">
        <f>-'Cash Flow'!K16</f>
        <v>3368516.9491525437</v>
      </c>
      <c r="M17" s="42"/>
      <c r="N17" s="1">
        <f>-'Cash Flow'!M16</f>
        <v>3302674.3167911367</v>
      </c>
      <c r="O17" s="42"/>
      <c r="P17" s="1">
        <f>-'Cash Flow'!O16</f>
        <v>3230905.8475172035</v>
      </c>
      <c r="Q17" s="42"/>
      <c r="R17" s="1">
        <f>-'Cash Flow'!Q16</f>
        <v>3152678.2160086166</v>
      </c>
      <c r="S17" s="42"/>
      <c r="T17" s="1">
        <f>-'Cash Flow'!S16</f>
        <v>3067410.0976642566</v>
      </c>
      <c r="U17" s="42"/>
      <c r="V17" s="1">
        <f>-'Cash Flow'!U16</f>
        <v>2974467.8486689045</v>
      </c>
      <c r="W17" s="42"/>
      <c r="X17" s="1">
        <f>-'Cash Flow'!W16</f>
        <v>2873160.7972639697</v>
      </c>
      <c r="Y17" s="42"/>
      <c r="Z17" s="1">
        <f>-'Cash Flow'!Y16</f>
        <v>2762736.111232592</v>
      </c>
      <c r="AA17" s="42"/>
      <c r="AB17" s="1">
        <f>-'Cash Flow'!AA16</f>
        <v>2642373.2034583897</v>
      </c>
      <c r="AC17" s="42"/>
      <c r="AD17" s="1">
        <f>-'Cash Flow'!AC16</f>
        <v>2511177.633984509</v>
      </c>
      <c r="AE17" s="42"/>
      <c r="AF17" s="1">
        <f>-'Cash Flow'!AE16</f>
        <v>2368174.4632579796</v>
      </c>
      <c r="AG17" s="42"/>
      <c r="AH17" s="1">
        <f>-'Cash Flow'!AG16</f>
        <v>2212301.007166062</v>
      </c>
      <c r="AI17" s="42"/>
      <c r="AJ17" s="1">
        <f>-'Cash Flow'!AI16</f>
        <v>2042398.940025872</v>
      </c>
      <c r="AK17" s="42"/>
      <c r="AL17" s="1">
        <f>-'Cash Flow'!AK16</f>
        <v>1857205.686843065</v>
      </c>
      <c r="AM17" s="42"/>
      <c r="AN17" s="1">
        <f>-'Cash Flow'!AM16</f>
        <v>1655345.0408738053</v>
      </c>
      <c r="AO17" s="42"/>
      <c r="AP17" s="1">
        <f>-'Cash Flow'!AO16</f>
        <v>1435316.9367673118</v>
      </c>
      <c r="AQ17" s="42"/>
      <c r="AR17" s="1">
        <f>-'Cash Flow'!AQ16</f>
        <v>1195486.3032912342</v>
      </c>
      <c r="AS17" s="42"/>
      <c r="AT17" s="1">
        <f>-'Cash Flow'!AS16</f>
        <v>934070.9128023094</v>
      </c>
      <c r="AU17" s="42"/>
      <c r="AV17" s="1">
        <f>-'Cash Flow'!AU16</f>
        <v>649128.1371693815</v>
      </c>
      <c r="AW17" s="42"/>
      <c r="AX17" s="1">
        <f>-'Cash Flow'!AW16</f>
        <v>338540.5117294902</v>
      </c>
      <c r="AY17" s="42"/>
      <c r="AZ17" s="1">
        <f>-'Cash Flow'!AY16</f>
        <v>0</v>
      </c>
      <c r="BA17" s="42"/>
      <c r="BB17" s="1">
        <f>-'Cash Flow'!BA16</f>
        <v>0</v>
      </c>
      <c r="BC17" s="42"/>
      <c r="BD17" s="1">
        <f>-'Cash Flow'!BC16</f>
        <v>0</v>
      </c>
      <c r="BE17" s="42"/>
      <c r="BF17" s="1">
        <f>-'Cash Flow'!BE16</f>
        <v>0</v>
      </c>
      <c r="BG17" s="42"/>
      <c r="BH17" s="1">
        <f>-'Cash Flow'!BG16</f>
        <v>0</v>
      </c>
      <c r="BI17" s="42"/>
      <c r="BJ17" s="1">
        <f>-'Cash Flow'!BI16</f>
        <v>0</v>
      </c>
      <c r="BK17" s="42"/>
      <c r="BL17" s="1">
        <f>-'Cash Flow'!BK16</f>
        <v>0</v>
      </c>
      <c r="BM17" s="42"/>
      <c r="BN17" s="1">
        <f>-'Cash Flow'!BM16</f>
        <v>0</v>
      </c>
      <c r="BO17" s="42"/>
      <c r="BP17" s="1">
        <f>-'Cash Flow'!BO16</f>
        <v>0</v>
      </c>
      <c r="BQ17" s="42"/>
      <c r="BR17" s="1">
        <f>-'Cash Flow'!BQ16</f>
        <v>0</v>
      </c>
      <c r="BS17" s="42"/>
      <c r="BT17" s="1">
        <f>-'Cash Flow'!BS16</f>
        <v>0</v>
      </c>
      <c r="BU17" s="42"/>
      <c r="BV17" s="1">
        <f>-'Cash Flow'!BU16</f>
        <v>0</v>
      </c>
      <c r="BW17" s="42"/>
      <c r="BX17" s="1">
        <f>-'Cash Flow'!BW16</f>
        <v>0</v>
      </c>
      <c r="BY17" s="42"/>
      <c r="BZ17" s="1">
        <f>-'Cash Flow'!BY16</f>
        <v>0</v>
      </c>
      <c r="CA17" s="42"/>
      <c r="CB17" s="1">
        <f>-'Cash Flow'!CA16</f>
        <v>0</v>
      </c>
      <c r="CC17" s="42"/>
      <c r="CD17" s="1">
        <f>-'Cash Flow'!CC16</f>
        <v>0</v>
      </c>
      <c r="CE17" s="42"/>
      <c r="CF17" s="1">
        <f>-'Cash Flow'!CE16</f>
        <v>0</v>
      </c>
      <c r="CG17" s="42"/>
      <c r="CH17" s="1">
        <f>-'Cash Flow'!CG16</f>
        <v>0</v>
      </c>
      <c r="CI17" s="42"/>
      <c r="CJ17" s="1">
        <f>-'Cash Flow'!CI16</f>
        <v>0</v>
      </c>
      <c r="CK17" s="42"/>
      <c r="CL17" s="1">
        <f>-'Cash Flow'!CK16</f>
        <v>0</v>
      </c>
      <c r="CM17" s="42"/>
      <c r="CN17" s="1">
        <f>-'Cash Flow'!CM16</f>
        <v>0</v>
      </c>
      <c r="CO17" s="42"/>
      <c r="CP17" s="1">
        <f>-'Cash Flow'!CO16</f>
        <v>0</v>
      </c>
      <c r="CQ17" s="42"/>
      <c r="CR17" s="1">
        <f>-'Cash Flow'!CQ16</f>
        <v>0</v>
      </c>
      <c r="CS17" s="42"/>
      <c r="CT17" s="1">
        <f>-'Cash Flow'!CS16</f>
        <v>0</v>
      </c>
      <c r="CU17" s="42"/>
      <c r="CV17" s="1">
        <f>-'Cash Flow'!CU16</f>
        <v>0</v>
      </c>
      <c r="CW17" s="42"/>
      <c r="CX17" s="1">
        <f>-'Cash Flow'!CW16</f>
        <v>0</v>
      </c>
      <c r="CY17" s="42"/>
      <c r="CZ17" s="1">
        <f>-'Cash Flow'!CY16</f>
        <v>0</v>
      </c>
      <c r="DA17" s="42"/>
      <c r="DB17" s="1">
        <f>-'Cash Flow'!DA16</f>
        <v>0</v>
      </c>
      <c r="DC17" s="42"/>
      <c r="DD17" s="1">
        <f>-'Cash Flow'!DC16</f>
        <v>0</v>
      </c>
      <c r="DE17" s="42"/>
      <c r="DF17" s="1">
        <f>-'Cash Flow'!DE16</f>
        <v>0</v>
      </c>
      <c r="DG17" s="42"/>
    </row>
    <row r="18" spans="1:111" ht="12.75" customHeight="1">
      <c r="A18" s="2"/>
      <c r="B18" s="2"/>
      <c r="C18" s="2"/>
      <c r="D18" s="2" t="s">
        <v>183</v>
      </c>
      <c r="E18" s="2"/>
      <c r="J18" s="1">
        <f>-'Cash Flow'!I33</f>
        <v>0</v>
      </c>
      <c r="K18" s="42"/>
      <c r="L18" s="1">
        <f>-'Cash Flow'!K33</f>
        <v>-20000</v>
      </c>
      <c r="M18" s="42"/>
      <c r="N18" s="1">
        <f>-'Cash Flow'!M33</f>
        <v>-168135.2449366365</v>
      </c>
      <c r="O18" s="42"/>
      <c r="P18" s="1">
        <f>-'Cash Flow'!O33</f>
        <v>-355980.6443720056</v>
      </c>
      <c r="Q18" s="42"/>
      <c r="R18" s="1">
        <f>-'Cash Flow'!Q33</f>
        <v>-567306.6298760823</v>
      </c>
      <c r="S18" s="42"/>
      <c r="T18" s="1">
        <f>-'Cash Flow'!S33</f>
        <v>-785037.4682870405</v>
      </c>
      <c r="U18" s="42"/>
      <c r="V18" s="1">
        <f>-'Cash Flow'!U33</f>
        <v>-1009309.3649773857</v>
      </c>
      <c r="W18" s="42"/>
      <c r="X18" s="1">
        <f>-'Cash Flow'!W33</f>
        <v>-1240261.0570098655</v>
      </c>
      <c r="Y18" s="42"/>
      <c r="Z18" s="1">
        <f>-'Cash Flow'!Y33</f>
        <v>-1478033.856377095</v>
      </c>
      <c r="AA18" s="42"/>
      <c r="AB18" s="1">
        <f>-'Cash Flow'!AA33</f>
        <v>-1717676.2276591084</v>
      </c>
      <c r="AC18" s="42"/>
      <c r="AD18" s="1">
        <f>-'Cash Flow'!AC33</f>
        <v>-1857062.9356845575</v>
      </c>
      <c r="AE18" s="42"/>
      <c r="AF18" s="1">
        <f>-'Cash Flow'!AE33</f>
        <v>-1998407.0873506966</v>
      </c>
      <c r="AG18" s="42"/>
      <c r="AH18" s="1">
        <f>-'Cash Flow'!AG33</f>
        <v>-2141641.814673652</v>
      </c>
      <c r="AI18" s="42"/>
      <c r="AJ18" s="1">
        <f>-'Cash Flow'!AI33</f>
        <v>-2286690.802012376</v>
      </c>
      <c r="AK18" s="42"/>
      <c r="AL18" s="1">
        <f>-'Cash Flow'!AK33</f>
        <v>-2433467.4024304436</v>
      </c>
      <c r="AM18" s="42"/>
      <c r="AN18" s="1">
        <f>-'Cash Flow'!AM33</f>
        <v>-2581873.6744670044</v>
      </c>
      <c r="AO18" s="42"/>
      <c r="AP18" s="1">
        <f>-'Cash Flow'!AO33</f>
        <v>-2731799.332161489</v>
      </c>
      <c r="AQ18" s="42"/>
      <c r="AR18" s="1">
        <f>-'Cash Flow'!AQ33</f>
        <v>-2883120.6005329774</v>
      </c>
      <c r="AS18" s="42"/>
      <c r="AT18" s="1">
        <f>-'Cash Flow'!AS33</f>
        <v>-3035698.968013495</v>
      </c>
      <c r="AU18" s="42"/>
      <c r="AV18" s="1">
        <f>-'Cash Flow'!AU33</f>
        <v>-3189379.826569748</v>
      </c>
      <c r="AW18" s="42"/>
      <c r="AX18" s="1">
        <f>-'Cash Flow'!AW33</f>
        <v>-3343990.9894142067</v>
      </c>
      <c r="AY18" s="42"/>
      <c r="AZ18" s="1">
        <f>-'Cash Flow'!AY33</f>
        <v>-3499341.0752978516</v>
      </c>
      <c r="BA18" s="42"/>
      <c r="BB18" s="1">
        <f>-'Cash Flow'!BA33</f>
        <v>-3737219.7824498783</v>
      </c>
      <c r="BC18" s="42"/>
      <c r="BD18" s="1">
        <f>-'Cash Flow'!BC33</f>
        <v>-3979325.9614530317</v>
      </c>
      <c r="BE18" s="42"/>
      <c r="BF18" s="1">
        <f>-'Cash Flow'!BE33</f>
        <v>-4225712.352467636</v>
      </c>
      <c r="BG18" s="42"/>
      <c r="BH18" s="1">
        <f>-'Cash Flow'!BG33</f>
        <v>-4476432.114265405</v>
      </c>
      <c r="BI18" s="42"/>
      <c r="BJ18" s="1">
        <f>-'Cash Flow'!BI33</f>
        <v>0</v>
      </c>
      <c r="BK18" s="42"/>
      <c r="BL18" s="1">
        <f>-'Cash Flow'!BK33</f>
        <v>0</v>
      </c>
      <c r="BM18" s="42"/>
      <c r="BN18" s="1">
        <f>-'Cash Flow'!BM33</f>
        <v>0</v>
      </c>
      <c r="BO18" s="42"/>
      <c r="BP18" s="1">
        <f>-'Cash Flow'!BO33</f>
        <v>0</v>
      </c>
      <c r="BQ18" s="42"/>
      <c r="BR18" s="1">
        <f>-'Cash Flow'!BQ33</f>
        <v>0</v>
      </c>
      <c r="BS18" s="42"/>
      <c r="BT18" s="1">
        <f>-'Cash Flow'!BS33</f>
        <v>0</v>
      </c>
      <c r="BU18" s="42"/>
      <c r="BV18" s="1">
        <f>-'Cash Flow'!BU33</f>
        <v>0</v>
      </c>
      <c r="BW18" s="42"/>
      <c r="BX18" s="1">
        <f>-'Cash Flow'!BW33</f>
        <v>0</v>
      </c>
      <c r="BY18" s="42"/>
      <c r="BZ18" s="1">
        <f>-'Cash Flow'!BY33</f>
        <v>0</v>
      </c>
      <c r="CA18" s="42"/>
      <c r="CB18" s="1">
        <f>-'Cash Flow'!CA33</f>
        <v>0</v>
      </c>
      <c r="CC18" s="42"/>
      <c r="CD18" s="1">
        <f>-'Cash Flow'!CC33</f>
        <v>0</v>
      </c>
      <c r="CE18" s="42"/>
      <c r="CF18" s="1">
        <f>-'Cash Flow'!CE33</f>
        <v>0</v>
      </c>
      <c r="CG18" s="42"/>
      <c r="CH18" s="1">
        <f>-'Cash Flow'!CG33</f>
        <v>0</v>
      </c>
      <c r="CI18" s="42"/>
      <c r="CJ18" s="1">
        <f>-'Cash Flow'!CI33</f>
        <v>0</v>
      </c>
      <c r="CK18" s="42"/>
      <c r="CL18" s="1">
        <f>-'Cash Flow'!CK33</f>
        <v>0</v>
      </c>
      <c r="CM18" s="42"/>
      <c r="CN18" s="1">
        <f>-'Cash Flow'!CM33</f>
        <v>0</v>
      </c>
      <c r="CO18" s="42"/>
      <c r="CP18" s="1">
        <f>-'Cash Flow'!CO33</f>
        <v>0</v>
      </c>
      <c r="CQ18" s="42"/>
      <c r="CR18" s="1">
        <f>-'Cash Flow'!CQ33</f>
        <v>0</v>
      </c>
      <c r="CS18" s="42"/>
      <c r="CT18" s="1">
        <f>-'Cash Flow'!CS33</f>
        <v>0</v>
      </c>
      <c r="CU18" s="42"/>
      <c r="CV18" s="1">
        <f>-'Cash Flow'!CU33</f>
        <v>0</v>
      </c>
      <c r="CW18" s="42"/>
      <c r="CX18" s="1">
        <f>-'Cash Flow'!CW33</f>
        <v>0</v>
      </c>
      <c r="CY18" s="42"/>
      <c r="CZ18" s="1">
        <f>-'Cash Flow'!CY33</f>
        <v>0</v>
      </c>
      <c r="DA18" s="42"/>
      <c r="DB18" s="1">
        <f>-'Cash Flow'!DA33</f>
        <v>0</v>
      </c>
      <c r="DC18" s="42"/>
      <c r="DD18" s="1">
        <f>-'Cash Flow'!DC33</f>
        <v>0</v>
      </c>
      <c r="DE18" s="42"/>
      <c r="DF18" s="1">
        <f>-'Cash Flow'!DE33</f>
        <v>0</v>
      </c>
      <c r="DG18" s="42"/>
    </row>
    <row r="19" spans="1:111" ht="12.75" customHeight="1" thickBot="1">
      <c r="A19" s="2"/>
      <c r="B19" s="2"/>
      <c r="C19" s="2"/>
      <c r="D19" s="2"/>
      <c r="E19" s="2"/>
      <c r="J19" s="1"/>
      <c r="K19" s="42"/>
      <c r="L19" s="1"/>
      <c r="M19" s="42"/>
      <c r="N19" s="1"/>
      <c r="O19" s="42"/>
      <c r="P19" s="1"/>
      <c r="Q19" s="42"/>
      <c r="R19" s="1"/>
      <c r="S19" s="42"/>
      <c r="T19" s="1"/>
      <c r="U19" s="42"/>
      <c r="V19" s="1"/>
      <c r="W19" s="42"/>
      <c r="X19" s="1"/>
      <c r="Y19" s="42"/>
      <c r="Z19" s="1"/>
      <c r="AA19" s="42"/>
      <c r="AB19" s="1"/>
      <c r="AC19" s="42"/>
      <c r="AD19" s="1"/>
      <c r="AE19" s="42"/>
      <c r="AF19" s="1"/>
      <c r="AG19" s="42"/>
      <c r="AH19" s="1"/>
      <c r="AI19" s="42"/>
      <c r="AJ19" s="1"/>
      <c r="AK19" s="42"/>
      <c r="AL19" s="1"/>
      <c r="AM19" s="42"/>
      <c r="AN19" s="1"/>
      <c r="AO19" s="42"/>
      <c r="AP19" s="1"/>
      <c r="AQ19" s="42"/>
      <c r="AR19" s="1"/>
      <c r="AS19" s="42"/>
      <c r="AT19" s="1"/>
      <c r="AU19" s="42"/>
      <c r="AV19" s="1"/>
      <c r="AW19" s="42"/>
      <c r="AX19" s="1"/>
      <c r="AY19" s="42"/>
      <c r="AZ19" s="1"/>
      <c r="BA19" s="42"/>
      <c r="BB19" s="1"/>
      <c r="BC19" s="42"/>
      <c r="BD19" s="1"/>
      <c r="BE19" s="42"/>
      <c r="BF19" s="1"/>
      <c r="BG19" s="42"/>
      <c r="BH19" s="1"/>
      <c r="BI19" s="42"/>
      <c r="BJ19" s="1"/>
      <c r="BK19" s="42"/>
      <c r="BL19" s="1"/>
      <c r="BM19" s="42"/>
      <c r="BN19" s="1"/>
      <c r="BO19" s="42"/>
      <c r="BP19" s="1"/>
      <c r="BQ19" s="42"/>
      <c r="BR19" s="1"/>
      <c r="BS19" s="42"/>
      <c r="BT19" s="1"/>
      <c r="BU19" s="42"/>
      <c r="BV19" s="1"/>
      <c r="BW19" s="42"/>
      <c r="BX19" s="1"/>
      <c r="BY19" s="42"/>
      <c r="BZ19" s="1"/>
      <c r="CA19" s="42"/>
      <c r="CB19" s="1"/>
      <c r="CC19" s="42"/>
      <c r="CD19" s="1"/>
      <c r="CE19" s="42"/>
      <c r="CF19" s="1"/>
      <c r="CG19" s="42"/>
      <c r="CH19" s="1"/>
      <c r="CI19" s="42"/>
      <c r="CJ19" s="1"/>
      <c r="CK19" s="42"/>
      <c r="CL19" s="1"/>
      <c r="CM19" s="42"/>
      <c r="CN19" s="1"/>
      <c r="CO19" s="42"/>
      <c r="CP19" s="1"/>
      <c r="CQ19" s="42"/>
      <c r="CR19" s="1"/>
      <c r="CS19" s="42"/>
      <c r="CT19" s="1"/>
      <c r="CU19" s="42"/>
      <c r="CV19" s="1"/>
      <c r="CW19" s="42"/>
      <c r="CX19" s="1"/>
      <c r="CY19" s="42"/>
      <c r="CZ19" s="1"/>
      <c r="DA19" s="42"/>
      <c r="DB19" s="1"/>
      <c r="DC19" s="42"/>
      <c r="DD19" s="1"/>
      <c r="DE19" s="42"/>
      <c r="DF19" s="1"/>
      <c r="DG19" s="42"/>
    </row>
    <row r="20" spans="1:111" ht="12.75" customHeight="1">
      <c r="A20" s="2"/>
      <c r="B20" s="2"/>
      <c r="C20" s="15" t="s">
        <v>81</v>
      </c>
      <c r="D20" s="2"/>
      <c r="E20" s="2"/>
      <c r="J20" s="61">
        <f>J15-J17-J18</f>
        <v>-3000000</v>
      </c>
      <c r="K20" s="42"/>
      <c r="L20" s="61">
        <f>L15-L17-L18</f>
        <v>3659851.2881355924</v>
      </c>
      <c r="M20" s="42"/>
      <c r="N20" s="61">
        <f>N15-N17-N18</f>
        <v>5711201.645433633</v>
      </c>
      <c r="O20" s="42"/>
      <c r="P20" s="61">
        <f>P15-P17-P18</f>
        <v>6956999.41814294</v>
      </c>
      <c r="Q20" s="42"/>
      <c r="R20" s="61">
        <f>R15-R17-R18</f>
        <v>7355469.694995603</v>
      </c>
      <c r="S20" s="42"/>
      <c r="T20" s="61">
        <f>T15-T17-T18</f>
        <v>7767790.72730932</v>
      </c>
      <c r="U20" s="42"/>
      <c r="V20" s="61">
        <f>V15-V17-V18</f>
        <v>8194722.743411399</v>
      </c>
      <c r="W20" s="42"/>
      <c r="X20" s="61">
        <f>X15-X17-X18</f>
        <v>8637085.161553815</v>
      </c>
      <c r="Y20" s="42"/>
      <c r="Z20" s="61">
        <f>Z15-Z17-Z18</f>
        <v>9095761.7565006</v>
      </c>
      <c r="AA20" s="42"/>
      <c r="AB20" s="61">
        <f>AB15-AB17-AB18</f>
        <v>9566610.822258545</v>
      </c>
      <c r="AC20" s="42"/>
      <c r="AD20" s="61">
        <f>AD15-AD17-AD18</f>
        <v>9948390.408105837</v>
      </c>
      <c r="AE20" s="42"/>
      <c r="AF20" s="61">
        <f>AF15-AF17-AF18</f>
        <v>10344276.997384757</v>
      </c>
      <c r="AG20" s="42"/>
      <c r="AH20" s="61">
        <f>AH15-AH17-AH18</f>
        <v>10755254.425518636</v>
      </c>
      <c r="AI20" s="42"/>
      <c r="AJ20" s="61">
        <f>AJ15-AJ17-AJ18</f>
        <v>11182392.294030929</v>
      </c>
      <c r="AK20" s="42"/>
      <c r="AL20" s="61">
        <f>AL15-AL17-AL18</f>
        <v>11626853.684210042</v>
      </c>
      <c r="AM20" s="42"/>
      <c r="AN20" s="61">
        <f>AN15-AN17-AN18</f>
        <v>12089903.565652499</v>
      </c>
      <c r="AO20" s="42"/>
      <c r="AP20" s="61">
        <f>AP15-AP17-AP18</f>
        <v>12572917.962246936</v>
      </c>
      <c r="AQ20" s="42"/>
      <c r="AR20" s="61">
        <f>AR15-AR17-AR18</f>
        <v>13077393.943792822</v>
      </c>
      <c r="AS20" s="42"/>
      <c r="AT20" s="61">
        <f>AT15-AT17-AT18</f>
        <v>13604960.517585624</v>
      </c>
      <c r="AU20" s="42"/>
      <c r="AV20" s="61">
        <f>AV15-AV17-AV18</f>
        <v>14157390.500991002</v>
      </c>
      <c r="AW20" s="42"/>
      <c r="AX20" s="61">
        <f>AX15-AX17-AX18</f>
        <v>14736613.46332302</v>
      </c>
      <c r="AY20" s="42"/>
      <c r="AZ20" s="61">
        <f>AZ15-AZ17-AZ18</f>
        <v>19823225.596002255</v>
      </c>
      <c r="BA20" s="42"/>
      <c r="BB20" s="61">
        <f>BB15-BB17-BB18</f>
        <v>20175514.916929476</v>
      </c>
      <c r="BC20" s="42"/>
      <c r="BD20" s="61">
        <f>BD15-BD17-BD18</f>
        <v>20532199.251216944</v>
      </c>
      <c r="BE20" s="42"/>
      <c r="BF20" s="61">
        <f>BF15-BF17-BF18</f>
        <v>20893313.483147487</v>
      </c>
      <c r="BG20" s="42"/>
      <c r="BH20" s="61">
        <f>BH15-BH17-BH18</f>
        <v>21258892.346430734</v>
      </c>
      <c r="BI20" s="42"/>
      <c r="BJ20" s="61">
        <f>BJ15-BJ17-BJ18</f>
        <v>0</v>
      </c>
      <c r="BK20" s="42"/>
      <c r="BL20" s="61">
        <f>BL15-BL17-BL18</f>
        <v>0</v>
      </c>
      <c r="BM20" s="42"/>
      <c r="BN20" s="61">
        <f>BN15-BN17-BN18</f>
        <v>0</v>
      </c>
      <c r="BO20" s="42"/>
      <c r="BP20" s="61">
        <f>BP15-BP17-BP18</f>
        <v>0</v>
      </c>
      <c r="BQ20" s="42"/>
      <c r="BR20" s="61">
        <f>BR15-BR17-BR18</f>
        <v>0</v>
      </c>
      <c r="BS20" s="42"/>
      <c r="BT20" s="61">
        <f>BT15-BT17-BT18</f>
        <v>0</v>
      </c>
      <c r="BU20" s="42"/>
      <c r="BV20" s="61">
        <f>BV15-BV17-BV18</f>
        <v>0</v>
      </c>
      <c r="BW20" s="42"/>
      <c r="BX20" s="61">
        <f>BX15-BX17-BX18</f>
        <v>0</v>
      </c>
      <c r="BY20" s="42"/>
      <c r="BZ20" s="61">
        <f>BZ15-BZ17-BZ18</f>
        <v>0</v>
      </c>
      <c r="CA20" s="42"/>
      <c r="CB20" s="61">
        <f>CB15-CB17-CB18</f>
        <v>0</v>
      </c>
      <c r="CC20" s="42"/>
      <c r="CD20" s="61">
        <f>CD15-CD17-CD18</f>
        <v>0</v>
      </c>
      <c r="CE20" s="42"/>
      <c r="CF20" s="61">
        <f>CF15-CF17-CF18</f>
        <v>0</v>
      </c>
      <c r="CG20" s="42"/>
      <c r="CH20" s="61">
        <f>CH15-CH17-CH18</f>
        <v>0</v>
      </c>
      <c r="CI20" s="42"/>
      <c r="CJ20" s="61">
        <f>CJ15-CJ17-CJ18</f>
        <v>0</v>
      </c>
      <c r="CK20" s="42"/>
      <c r="CL20" s="61">
        <f>CL15-CL17-CL18</f>
        <v>0</v>
      </c>
      <c r="CM20" s="42"/>
      <c r="CN20" s="61">
        <f>CN15-CN17-CN18</f>
        <v>0</v>
      </c>
      <c r="CO20" s="42"/>
      <c r="CP20" s="61">
        <f>CP15-CP17-CP18</f>
        <v>0</v>
      </c>
      <c r="CQ20" s="42"/>
      <c r="CR20" s="61">
        <f>CR15-CR17-CR18</f>
        <v>0</v>
      </c>
      <c r="CS20" s="42"/>
      <c r="CT20" s="61">
        <f>CT15-CT17-CT18</f>
        <v>0</v>
      </c>
      <c r="CU20" s="42"/>
      <c r="CV20" s="61">
        <f>CV15-CV17-CV18</f>
        <v>0</v>
      </c>
      <c r="CW20" s="42"/>
      <c r="CX20" s="61">
        <f>CX15-CX17-CX18</f>
        <v>0</v>
      </c>
      <c r="CY20" s="42"/>
      <c r="CZ20" s="61">
        <f>CZ15-CZ17-CZ18</f>
        <v>0</v>
      </c>
      <c r="DA20" s="42"/>
      <c r="DB20" s="61">
        <f>DB15-DB17-DB18</f>
        <v>0</v>
      </c>
      <c r="DC20" s="42"/>
      <c r="DD20" s="61">
        <f>DD15-DD17-DD18</f>
        <v>0</v>
      </c>
      <c r="DE20" s="42"/>
      <c r="DF20" s="61">
        <f>DF15-DF17-DF18</f>
        <v>0</v>
      </c>
      <c r="DG20" s="42"/>
    </row>
    <row r="21" spans="1:111" ht="12.75" customHeight="1">
      <c r="A21" s="2"/>
      <c r="B21" s="2"/>
      <c r="C21" s="15"/>
      <c r="D21" s="2"/>
      <c r="E21" s="2"/>
      <c r="J21" s="1"/>
      <c r="K21" s="42"/>
      <c r="L21" s="1"/>
      <c r="M21" s="42"/>
      <c r="N21" s="1"/>
      <c r="O21" s="42"/>
      <c r="P21" s="1"/>
      <c r="Q21" s="42"/>
      <c r="R21" s="1"/>
      <c r="S21" s="42"/>
      <c r="T21" s="1"/>
      <c r="U21" s="42"/>
      <c r="V21" s="1"/>
      <c r="W21" s="42"/>
      <c r="X21" s="1"/>
      <c r="Y21" s="42"/>
      <c r="Z21" s="1"/>
      <c r="AA21" s="42"/>
      <c r="AB21" s="1"/>
      <c r="AC21" s="42"/>
      <c r="AD21" s="1"/>
      <c r="AE21" s="42"/>
      <c r="AF21" s="1"/>
      <c r="AG21" s="42"/>
      <c r="AH21" s="1"/>
      <c r="AI21" s="42"/>
      <c r="AJ21" s="1"/>
      <c r="AK21" s="42"/>
      <c r="AL21" s="1"/>
      <c r="AM21" s="42"/>
      <c r="AN21" s="1"/>
      <c r="AO21" s="42"/>
      <c r="AP21" s="1"/>
      <c r="AQ21" s="42"/>
      <c r="AR21" s="1"/>
      <c r="AS21" s="42"/>
      <c r="AT21" s="1"/>
      <c r="AU21" s="42"/>
      <c r="AV21" s="1"/>
      <c r="AW21" s="42"/>
      <c r="AX21" s="1"/>
      <c r="AY21" s="42"/>
      <c r="AZ21" s="1"/>
      <c r="BA21" s="42"/>
      <c r="BB21" s="1"/>
      <c r="BC21" s="42"/>
      <c r="BD21" s="1"/>
      <c r="BE21" s="42"/>
      <c r="BF21" s="1"/>
      <c r="BG21" s="42"/>
      <c r="BH21" s="1"/>
      <c r="BI21" s="42"/>
      <c r="BJ21" s="1"/>
      <c r="BK21" s="42"/>
      <c r="BL21" s="1"/>
      <c r="BM21" s="42"/>
      <c r="BN21" s="1"/>
      <c r="BO21" s="42"/>
      <c r="BP21" s="1"/>
      <c r="BQ21" s="42"/>
      <c r="BR21" s="1"/>
      <c r="BS21" s="42"/>
      <c r="BT21" s="1"/>
      <c r="BU21" s="42"/>
      <c r="BV21" s="1"/>
      <c r="BW21" s="42"/>
      <c r="BX21" s="1"/>
      <c r="BY21" s="42"/>
      <c r="BZ21" s="1"/>
      <c r="CA21" s="42"/>
      <c r="CB21" s="1"/>
      <c r="CC21" s="42"/>
      <c r="CD21" s="1"/>
      <c r="CE21" s="42"/>
      <c r="CF21" s="1"/>
      <c r="CG21" s="42"/>
      <c r="CH21" s="1"/>
      <c r="CI21" s="42"/>
      <c r="CJ21" s="1"/>
      <c r="CK21" s="42"/>
      <c r="CL21" s="1"/>
      <c r="CM21" s="42"/>
      <c r="CN21" s="1"/>
      <c r="CO21" s="42"/>
      <c r="CP21" s="1"/>
      <c r="CQ21" s="42"/>
      <c r="CR21" s="1"/>
      <c r="CS21" s="42"/>
      <c r="CT21" s="1"/>
      <c r="CU21" s="42"/>
      <c r="CV21" s="1"/>
      <c r="CW21" s="42"/>
      <c r="CX21" s="1"/>
      <c r="CY21" s="42"/>
      <c r="CZ21" s="1"/>
      <c r="DA21" s="42"/>
      <c r="DB21" s="1"/>
      <c r="DC21" s="42"/>
      <c r="DD21" s="1"/>
      <c r="DE21" s="42"/>
      <c r="DF21" s="1"/>
      <c r="DG21" s="42"/>
    </row>
    <row r="22" spans="1:111" ht="12.75" customHeight="1">
      <c r="A22" s="2"/>
      <c r="B22" s="2"/>
      <c r="C22" s="2"/>
      <c r="D22" s="2" t="s">
        <v>191</v>
      </c>
      <c r="E22" s="2"/>
      <c r="J22" s="1">
        <f>-'Cash Flow'!I38</f>
        <v>0</v>
      </c>
      <c r="K22" s="42"/>
      <c r="L22" s="1">
        <f>-'Cash Flow'!K38</f>
        <v>0</v>
      </c>
      <c r="M22" s="42"/>
      <c r="N22" s="1">
        <f>-'Cash Flow'!M38</f>
        <v>0</v>
      </c>
      <c r="O22" s="42"/>
      <c r="P22" s="1">
        <f>-'Cash Flow'!O38</f>
        <v>0</v>
      </c>
      <c r="Q22" s="42"/>
      <c r="R22" s="1">
        <f>-'Cash Flow'!Q38</f>
        <v>0</v>
      </c>
      <c r="S22" s="42"/>
      <c r="T22" s="1">
        <f>-'Cash Flow'!S38</f>
        <v>0</v>
      </c>
      <c r="U22" s="42"/>
      <c r="V22" s="1">
        <f>-'Cash Flow'!U38</f>
        <v>0</v>
      </c>
      <c r="W22" s="42"/>
      <c r="X22" s="1">
        <f>-'Cash Flow'!W38</f>
        <v>0</v>
      </c>
      <c r="Y22" s="42"/>
      <c r="Z22" s="1">
        <f>-'Cash Flow'!Y38</f>
        <v>254773.31317620949</v>
      </c>
      <c r="AA22" s="42"/>
      <c r="AB22" s="1">
        <f>-'Cash Flow'!AA38</f>
        <v>5618042.633988163</v>
      </c>
      <c r="AC22" s="42"/>
      <c r="AD22" s="1">
        <f>-'Cash Flow'!AC38</f>
        <v>5770754.46832708</v>
      </c>
      <c r="AE22" s="42"/>
      <c r="AF22" s="1">
        <f>-'Cash Flow'!AE38</f>
        <v>5929109.104038648</v>
      </c>
      <c r="AG22" s="42"/>
      <c r="AH22" s="1">
        <f>-'Cash Flow'!AG38</f>
        <v>6093500.0752922</v>
      </c>
      <c r="AI22" s="42"/>
      <c r="AJ22" s="1">
        <f>-'Cash Flow'!AI38</f>
        <v>6264355.222697117</v>
      </c>
      <c r="AK22" s="42"/>
      <c r="AL22" s="1">
        <f>-'Cash Flow'!AK38</f>
        <v>6442139.778768762</v>
      </c>
      <c r="AM22" s="42"/>
      <c r="AN22" s="1">
        <f>-'Cash Flow'!AM38</f>
        <v>6627359.731345746</v>
      </c>
      <c r="AO22" s="42"/>
      <c r="AP22" s="1">
        <f>-'Cash Flow'!AO38</f>
        <v>6820565.4899835205</v>
      </c>
      <c r="AQ22" s="42"/>
      <c r="AR22" s="1">
        <f>-'Cash Flow'!AQ38</f>
        <v>7022355.882601875</v>
      </c>
      <c r="AS22" s="42"/>
      <c r="AT22" s="1">
        <f>-'Cash Flow'!AS38</f>
        <v>7233382.512118995</v>
      </c>
      <c r="AU22" s="42"/>
      <c r="AV22" s="1">
        <f>-'Cash Flow'!AU38</f>
        <v>7454354.505481148</v>
      </c>
      <c r="AW22" s="42"/>
      <c r="AX22" s="1">
        <f>-'Cash Flow'!AW38</f>
        <v>7686043.690413953</v>
      </c>
      <c r="AY22" s="42"/>
      <c r="AZ22" s="1">
        <f>-'Cash Flow'!AY38</f>
        <v>7929290.238400902</v>
      </c>
      <c r="BA22" s="42"/>
      <c r="BB22" s="1">
        <f>-'Cash Flow'!BA38</f>
        <v>8070205.966771791</v>
      </c>
      <c r="BC22" s="42"/>
      <c r="BD22" s="1">
        <f>-'Cash Flow'!BC38</f>
        <v>8212879.700486778</v>
      </c>
      <c r="BE22" s="42"/>
      <c r="BF22" s="1">
        <f>-'Cash Flow'!BE38</f>
        <v>8357325.393258994</v>
      </c>
      <c r="BG22" s="42"/>
      <c r="BH22" s="1">
        <f>-'Cash Flow'!BG38</f>
        <v>8503556.938572293</v>
      </c>
      <c r="BI22" s="42"/>
      <c r="BJ22" s="1">
        <f>-'Cash Flow'!BI38</f>
        <v>0</v>
      </c>
      <c r="BK22" s="42"/>
      <c r="BL22" s="1">
        <f>-'Cash Flow'!BK38</f>
        <v>0</v>
      </c>
      <c r="BM22" s="42"/>
      <c r="BN22" s="1">
        <f>-'Cash Flow'!BM38</f>
        <v>0</v>
      </c>
      <c r="BO22" s="42"/>
      <c r="BP22" s="1">
        <f>-'Cash Flow'!BO38</f>
        <v>0</v>
      </c>
      <c r="BQ22" s="42"/>
      <c r="BR22" s="1">
        <f>-'Cash Flow'!BQ38</f>
        <v>0</v>
      </c>
      <c r="BS22" s="42"/>
      <c r="BT22" s="1">
        <f>-'Cash Flow'!BS38</f>
        <v>0</v>
      </c>
      <c r="BU22" s="42"/>
      <c r="BV22" s="1">
        <f>-'Cash Flow'!BU38</f>
        <v>0</v>
      </c>
      <c r="BW22" s="42"/>
      <c r="BX22" s="1">
        <f>-'Cash Flow'!BW38</f>
        <v>0</v>
      </c>
      <c r="BY22" s="42"/>
      <c r="BZ22" s="1">
        <f>-'Cash Flow'!BY38</f>
        <v>0</v>
      </c>
      <c r="CA22" s="42"/>
      <c r="CB22" s="1">
        <f>-'Cash Flow'!CA38</f>
        <v>0</v>
      </c>
      <c r="CC22" s="42"/>
      <c r="CD22" s="1">
        <f>-'Cash Flow'!CC38</f>
        <v>0</v>
      </c>
      <c r="CE22" s="42"/>
      <c r="CF22" s="1">
        <f>-'Cash Flow'!CE38</f>
        <v>0</v>
      </c>
      <c r="CG22" s="42"/>
      <c r="CH22" s="1">
        <f>-'Cash Flow'!CG38</f>
        <v>0</v>
      </c>
      <c r="CI22" s="42"/>
      <c r="CJ22" s="1">
        <f>-'Cash Flow'!CI38</f>
        <v>0</v>
      </c>
      <c r="CK22" s="42"/>
      <c r="CL22" s="1">
        <f>-'Cash Flow'!CK38</f>
        <v>0</v>
      </c>
      <c r="CM22" s="42"/>
      <c r="CN22" s="1">
        <f>-'Cash Flow'!CM38</f>
        <v>0</v>
      </c>
      <c r="CO22" s="42"/>
      <c r="CP22" s="1">
        <f>-'Cash Flow'!CO38</f>
        <v>0</v>
      </c>
      <c r="CQ22" s="42"/>
      <c r="CR22" s="1">
        <f>-'Cash Flow'!CQ38</f>
        <v>0</v>
      </c>
      <c r="CS22" s="42"/>
      <c r="CT22" s="1">
        <f>-'Cash Flow'!CS38</f>
        <v>0</v>
      </c>
      <c r="CU22" s="42"/>
      <c r="CV22" s="1">
        <f>-'Cash Flow'!CU38</f>
        <v>0</v>
      </c>
      <c r="CW22" s="42"/>
      <c r="CX22" s="1">
        <f>-'Cash Flow'!CW38</f>
        <v>0</v>
      </c>
      <c r="CY22" s="42"/>
      <c r="CZ22" s="1">
        <f>-'Cash Flow'!CY38</f>
        <v>0</v>
      </c>
      <c r="DA22" s="42"/>
      <c r="DB22" s="1">
        <f>-'Cash Flow'!DA38</f>
        <v>0</v>
      </c>
      <c r="DC22" s="42"/>
      <c r="DD22" s="1">
        <f>-'Cash Flow'!DC38</f>
        <v>0</v>
      </c>
      <c r="DE22" s="42"/>
      <c r="DF22" s="1">
        <f>-'Cash Flow'!DE38</f>
        <v>0</v>
      </c>
      <c r="DG22" s="42"/>
    </row>
    <row r="23" spans="1:111" ht="12.75" customHeight="1">
      <c r="A23" s="2"/>
      <c r="B23" s="2"/>
      <c r="C23" s="2"/>
      <c r="D23" s="2" t="s">
        <v>77</v>
      </c>
      <c r="E23" s="2"/>
      <c r="J23" s="1">
        <f>-'Cash Flow'!I39</f>
        <v>-1200000</v>
      </c>
      <c r="K23" s="42"/>
      <c r="L23" s="1">
        <f>-'Cash Flow'!K39</f>
        <v>1463940.515254</v>
      </c>
      <c r="M23" s="42"/>
      <c r="N23" s="1">
        <f>-'Cash Flow'!M39</f>
        <v>2284480.658173</v>
      </c>
      <c r="O23" s="42"/>
      <c r="P23" s="1">
        <f>-'Cash Flow'!O39</f>
        <v>2782799.767257</v>
      </c>
      <c r="Q23" s="42"/>
      <c r="R23" s="1">
        <f>-'Cash Flow'!Q39</f>
        <v>2942187.877998</v>
      </c>
      <c r="S23" s="42"/>
      <c r="T23" s="1">
        <f>-'Cash Flow'!S39</f>
        <v>3107116.290924</v>
      </c>
      <c r="U23" s="42"/>
      <c r="V23" s="1">
        <f>-'Cash Flow'!U39</f>
        <v>3277889.097365</v>
      </c>
      <c r="W23" s="42"/>
      <c r="X23" s="1">
        <f>-'Cash Flow'!W39</f>
        <v>3454834.064622</v>
      </c>
      <c r="Y23" s="42"/>
      <c r="Z23" s="1">
        <f>-'Cash Flow'!Y39</f>
        <v>3383531.389424</v>
      </c>
      <c r="AA23" s="42"/>
      <c r="AB23" s="1">
        <f>-'Cash Flow'!AA39</f>
        <v>-1791398.305085</v>
      </c>
      <c r="AC23" s="42"/>
      <c r="AD23" s="1">
        <f>-'Cash Flow'!AC39</f>
        <v>-1791398.305085</v>
      </c>
      <c r="AE23" s="42"/>
      <c r="AF23" s="1">
        <f>-'Cash Flow'!AE39</f>
        <v>-1791398.305085</v>
      </c>
      <c r="AG23" s="42"/>
      <c r="AH23" s="1">
        <f>-'Cash Flow'!AG39</f>
        <v>-1791398.305085</v>
      </c>
      <c r="AI23" s="42"/>
      <c r="AJ23" s="1">
        <f>-'Cash Flow'!AI39</f>
        <v>-1791398.305085</v>
      </c>
      <c r="AK23" s="42"/>
      <c r="AL23" s="1">
        <f>-'Cash Flow'!AK39</f>
        <v>-1791398.305085</v>
      </c>
      <c r="AM23" s="42"/>
      <c r="AN23" s="1">
        <f>-'Cash Flow'!AM39</f>
        <v>-1791398.305085</v>
      </c>
      <c r="AO23" s="42"/>
      <c r="AP23" s="1">
        <f>-'Cash Flow'!AO39</f>
        <v>-1791398.305085</v>
      </c>
      <c r="AQ23" s="42"/>
      <c r="AR23" s="1">
        <f>-'Cash Flow'!AQ39</f>
        <v>-1791398.305085</v>
      </c>
      <c r="AS23" s="42"/>
      <c r="AT23" s="1">
        <f>-'Cash Flow'!AS39</f>
        <v>-1791398.305085</v>
      </c>
      <c r="AU23" s="42"/>
      <c r="AV23" s="1">
        <f>-'Cash Flow'!AU39</f>
        <v>-1791398.305085</v>
      </c>
      <c r="AW23" s="42"/>
      <c r="AX23" s="1">
        <f>-'Cash Flow'!AW39</f>
        <v>-1791398.305085</v>
      </c>
      <c r="AY23" s="42"/>
      <c r="AZ23" s="1">
        <f>-'Cash Flow'!AY39</f>
        <v>0</v>
      </c>
      <c r="BA23" s="42"/>
      <c r="BB23" s="1">
        <f>-'Cash Flow'!BA39</f>
        <v>0</v>
      </c>
      <c r="BC23" s="42"/>
      <c r="BD23" s="1">
        <f>-'Cash Flow'!BC39</f>
        <v>0</v>
      </c>
      <c r="BE23" s="42"/>
      <c r="BF23" s="1">
        <f>-'Cash Flow'!BE39</f>
        <v>0</v>
      </c>
      <c r="BG23" s="42"/>
      <c r="BH23" s="1">
        <f>-'Cash Flow'!BG39</f>
        <v>0</v>
      </c>
      <c r="BI23" s="42"/>
      <c r="BJ23" s="1">
        <f>-'Cash Flow'!BI39</f>
        <v>0</v>
      </c>
      <c r="BK23" s="42"/>
      <c r="BL23" s="1">
        <f>-'Cash Flow'!BK39</f>
        <v>0</v>
      </c>
      <c r="BM23" s="42"/>
      <c r="BN23" s="1">
        <f>-'Cash Flow'!BM39</f>
        <v>0</v>
      </c>
      <c r="BO23" s="42"/>
      <c r="BP23" s="1">
        <f>-'Cash Flow'!BO39</f>
        <v>0</v>
      </c>
      <c r="BQ23" s="42"/>
      <c r="BR23" s="1">
        <f>-'Cash Flow'!BQ39</f>
        <v>0</v>
      </c>
      <c r="BS23" s="42"/>
      <c r="BT23" s="1">
        <f>-'Cash Flow'!BS39</f>
        <v>0</v>
      </c>
      <c r="BU23" s="42"/>
      <c r="BV23" s="1">
        <f>-'Cash Flow'!BU39</f>
        <v>0</v>
      </c>
      <c r="BW23" s="42"/>
      <c r="BX23" s="1">
        <f>-'Cash Flow'!BW39</f>
        <v>0</v>
      </c>
      <c r="BY23" s="42"/>
      <c r="BZ23" s="1">
        <f>-'Cash Flow'!BY39</f>
        <v>0</v>
      </c>
      <c r="CA23" s="42"/>
      <c r="CB23" s="1">
        <f>-'Cash Flow'!CA39</f>
        <v>0</v>
      </c>
      <c r="CC23" s="42"/>
      <c r="CD23" s="1">
        <f>-'Cash Flow'!CC39</f>
        <v>0</v>
      </c>
      <c r="CE23" s="42"/>
      <c r="CF23" s="1">
        <f>-'Cash Flow'!CE39</f>
        <v>0</v>
      </c>
      <c r="CG23" s="42"/>
      <c r="CH23" s="1">
        <f>-'Cash Flow'!CG39</f>
        <v>0</v>
      </c>
      <c r="CI23" s="42"/>
      <c r="CJ23" s="1">
        <f>-'Cash Flow'!CI39</f>
        <v>0</v>
      </c>
      <c r="CK23" s="42"/>
      <c r="CL23" s="1">
        <f>-'Cash Flow'!CK39</f>
        <v>0</v>
      </c>
      <c r="CM23" s="42"/>
      <c r="CN23" s="1">
        <f>-'Cash Flow'!CM39</f>
        <v>0</v>
      </c>
      <c r="CO23" s="42"/>
      <c r="CP23" s="1">
        <f>-'Cash Flow'!CO39</f>
        <v>0</v>
      </c>
      <c r="CQ23" s="42"/>
      <c r="CR23" s="1">
        <f>-'Cash Flow'!CQ39</f>
        <v>0</v>
      </c>
      <c r="CS23" s="42"/>
      <c r="CT23" s="1">
        <f>-'Cash Flow'!CS39</f>
        <v>0</v>
      </c>
      <c r="CU23" s="42"/>
      <c r="CV23" s="1">
        <f>-'Cash Flow'!CU39</f>
        <v>0</v>
      </c>
      <c r="CW23" s="42"/>
      <c r="CX23" s="1">
        <f>-'Cash Flow'!CW39</f>
        <v>0</v>
      </c>
      <c r="CY23" s="42"/>
      <c r="CZ23" s="1">
        <f>-'Cash Flow'!CY39</f>
        <v>0</v>
      </c>
      <c r="DA23" s="42"/>
      <c r="DB23" s="1">
        <f>-'Cash Flow'!DA39</f>
        <v>0</v>
      </c>
      <c r="DC23" s="42"/>
      <c r="DD23" s="1">
        <f>-'Cash Flow'!DC39</f>
        <v>0</v>
      </c>
      <c r="DE23" s="42"/>
      <c r="DF23" s="1">
        <f>-'Cash Flow'!DE39</f>
        <v>0</v>
      </c>
      <c r="DG23" s="42"/>
    </row>
    <row r="24" spans="1:111" ht="12.75" customHeight="1" thickBot="1">
      <c r="A24" s="2"/>
      <c r="B24" s="2"/>
      <c r="C24" s="2"/>
      <c r="D24" s="2"/>
      <c r="E24" s="2"/>
      <c r="J24" s="1"/>
      <c r="K24" s="42"/>
      <c r="L24" s="1"/>
      <c r="M24" s="42"/>
      <c r="N24" s="1"/>
      <c r="O24" s="42"/>
      <c r="P24" s="1"/>
      <c r="Q24" s="42"/>
      <c r="R24" s="1"/>
      <c r="S24" s="42"/>
      <c r="T24" s="1"/>
      <c r="U24" s="42"/>
      <c r="V24" s="1"/>
      <c r="W24" s="42"/>
      <c r="X24" s="1"/>
      <c r="Y24" s="42"/>
      <c r="Z24" s="1"/>
      <c r="AA24" s="42"/>
      <c r="AB24" s="1"/>
      <c r="AC24" s="42"/>
      <c r="AD24" s="1"/>
      <c r="AE24" s="42"/>
      <c r="AF24" s="1"/>
      <c r="AG24" s="42"/>
      <c r="AH24" s="1"/>
      <c r="AI24" s="42"/>
      <c r="AJ24" s="1"/>
      <c r="AK24" s="42"/>
      <c r="AL24" s="1"/>
      <c r="AM24" s="42"/>
      <c r="AN24" s="1"/>
      <c r="AO24" s="42"/>
      <c r="AP24" s="1"/>
      <c r="AQ24" s="42"/>
      <c r="AR24" s="1"/>
      <c r="AS24" s="42"/>
      <c r="AT24" s="1"/>
      <c r="AU24" s="42"/>
      <c r="AV24" s="1"/>
      <c r="AW24" s="42"/>
      <c r="AX24" s="1"/>
      <c r="AY24" s="42"/>
      <c r="AZ24" s="1"/>
      <c r="BA24" s="42"/>
      <c r="BB24" s="1"/>
      <c r="BC24" s="42"/>
      <c r="BD24" s="1"/>
      <c r="BE24" s="42"/>
      <c r="BF24" s="1"/>
      <c r="BG24" s="42"/>
      <c r="BH24" s="1"/>
      <c r="BI24" s="42"/>
      <c r="BJ24" s="1"/>
      <c r="BK24" s="42"/>
      <c r="BL24" s="1"/>
      <c r="BM24" s="42"/>
      <c r="BN24" s="1"/>
      <c r="BO24" s="42"/>
      <c r="BP24" s="1"/>
      <c r="BQ24" s="42"/>
      <c r="BR24" s="1"/>
      <c r="BS24" s="42"/>
      <c r="BT24" s="1"/>
      <c r="BU24" s="42"/>
      <c r="BV24" s="1"/>
      <c r="BW24" s="42"/>
      <c r="BX24" s="1"/>
      <c r="BY24" s="42"/>
      <c r="BZ24" s="1"/>
      <c r="CA24" s="42"/>
      <c r="CB24" s="1"/>
      <c r="CC24" s="42"/>
      <c r="CD24" s="1"/>
      <c r="CE24" s="42"/>
      <c r="CF24" s="1"/>
      <c r="CG24" s="42"/>
      <c r="CH24" s="1"/>
      <c r="CI24" s="42"/>
      <c r="CJ24" s="1"/>
      <c r="CK24" s="42"/>
      <c r="CL24" s="1"/>
      <c r="CM24" s="42"/>
      <c r="CN24" s="1"/>
      <c r="CO24" s="42"/>
      <c r="CP24" s="1"/>
      <c r="CQ24" s="42"/>
      <c r="CR24" s="1"/>
      <c r="CS24" s="42"/>
      <c r="CT24" s="1"/>
      <c r="CU24" s="42"/>
      <c r="CV24" s="1"/>
      <c r="CW24" s="42"/>
      <c r="CX24" s="1"/>
      <c r="CY24" s="42"/>
      <c r="CZ24" s="1"/>
      <c r="DA24" s="42"/>
      <c r="DB24" s="1"/>
      <c r="DC24" s="42"/>
      <c r="DD24" s="1"/>
      <c r="DE24" s="42"/>
      <c r="DF24" s="1"/>
      <c r="DG24" s="42"/>
    </row>
    <row r="25" spans="1:111" ht="12.75" customHeight="1">
      <c r="A25" s="2"/>
      <c r="B25" s="2"/>
      <c r="C25" s="15" t="s">
        <v>72</v>
      </c>
      <c r="D25" s="2"/>
      <c r="E25" s="2"/>
      <c r="J25" s="61">
        <f>J20-J22-J23</f>
        <v>-1800000</v>
      </c>
      <c r="K25" s="42"/>
      <c r="L25" s="61">
        <f>L20-L22-L23</f>
        <v>2195910.7728815926</v>
      </c>
      <c r="M25" s="42"/>
      <c r="N25" s="61">
        <f>N20-N22-N23</f>
        <v>3426720.9872606327</v>
      </c>
      <c r="O25" s="42"/>
      <c r="P25" s="61">
        <f>P20-P22-P23</f>
        <v>4174199.65088594</v>
      </c>
      <c r="Q25" s="42"/>
      <c r="R25" s="61">
        <f>R20-R22-R23</f>
        <v>4413281.816997603</v>
      </c>
      <c r="S25" s="42"/>
      <c r="T25" s="61">
        <f>T20-T22-T23</f>
        <v>4660674.4363853205</v>
      </c>
      <c r="U25" s="42"/>
      <c r="V25" s="61">
        <f>V20-V22-V23</f>
        <v>4916833.6460464</v>
      </c>
      <c r="W25" s="42"/>
      <c r="X25" s="61">
        <f>X20-X22-X23</f>
        <v>5182251.096931815</v>
      </c>
      <c r="Y25" s="42"/>
      <c r="Z25" s="61">
        <f>Z20-Z22-Z23</f>
        <v>5457457.053900391</v>
      </c>
      <c r="AA25" s="42"/>
      <c r="AB25" s="61">
        <f>AB20-AB22-AB23</f>
        <v>5739966.493355382</v>
      </c>
      <c r="AC25" s="42"/>
      <c r="AD25" s="61">
        <f>AD20-AD22-AD23</f>
        <v>5969034.244863758</v>
      </c>
      <c r="AE25" s="42"/>
      <c r="AF25" s="61">
        <f>AF20-AF22-AF23</f>
        <v>6206566.198431108</v>
      </c>
      <c r="AG25" s="42"/>
      <c r="AH25" s="61">
        <f>AH20-AH22-AH23</f>
        <v>6453152.655311435</v>
      </c>
      <c r="AI25" s="42"/>
      <c r="AJ25" s="61">
        <f>AJ20-AJ22-AJ23</f>
        <v>6709435.376418812</v>
      </c>
      <c r="AK25" s="42"/>
      <c r="AL25" s="61">
        <f>AL20-AL22-AL23</f>
        <v>6976112.21052628</v>
      </c>
      <c r="AM25" s="42"/>
      <c r="AN25" s="61">
        <f>AN20-AN22-AN23</f>
        <v>7253942.139391754</v>
      </c>
      <c r="AO25" s="42"/>
      <c r="AP25" s="61">
        <f>AP20-AP22-AP23</f>
        <v>7543750.777348416</v>
      </c>
      <c r="AQ25" s="42"/>
      <c r="AR25" s="61">
        <f>AR20-AR22-AR23</f>
        <v>7846436.366275948</v>
      </c>
      <c r="AS25" s="42"/>
      <c r="AT25" s="61">
        <f>AT20-AT22-AT23</f>
        <v>8162976.3105516285</v>
      </c>
      <c r="AU25" s="42"/>
      <c r="AV25" s="61">
        <f>AV20-AV22-AV23</f>
        <v>8494434.300594853</v>
      </c>
      <c r="AW25" s="42"/>
      <c r="AX25" s="61">
        <f>AX20-AX22-AX23</f>
        <v>8841968.077994067</v>
      </c>
      <c r="AY25" s="42"/>
      <c r="AZ25" s="61">
        <f>AZ20-AZ22-AZ23</f>
        <v>11893935.357601352</v>
      </c>
      <c r="BA25" s="42"/>
      <c r="BB25" s="61">
        <f>BB20-BB22-BB23</f>
        <v>12105308.950157685</v>
      </c>
      <c r="BC25" s="42"/>
      <c r="BD25" s="61">
        <f>BD20-BD22-BD23</f>
        <v>12319319.550730165</v>
      </c>
      <c r="BE25" s="42"/>
      <c r="BF25" s="61">
        <f>BF20-BF22-BF23</f>
        <v>12535988.089888493</v>
      </c>
      <c r="BG25" s="42"/>
      <c r="BH25" s="61">
        <f>BH20-BH22-BH23</f>
        <v>12755335.40785844</v>
      </c>
      <c r="BI25" s="42"/>
      <c r="BJ25" s="61">
        <f>BJ20-BJ22-BJ23</f>
        <v>0</v>
      </c>
      <c r="BK25" s="42"/>
      <c r="BL25" s="61">
        <f>BL20-BL22-BL23</f>
        <v>0</v>
      </c>
      <c r="BM25" s="42"/>
      <c r="BN25" s="61">
        <f>BN20-BN22-BN23</f>
        <v>0</v>
      </c>
      <c r="BO25" s="42"/>
      <c r="BP25" s="61">
        <f>BP20-BP22-BP23</f>
        <v>0</v>
      </c>
      <c r="BQ25" s="42"/>
      <c r="BR25" s="61">
        <f>BR20-BR22-BR23</f>
        <v>0</v>
      </c>
      <c r="BS25" s="42"/>
      <c r="BT25" s="61">
        <f>BT20-BT22-BT23</f>
        <v>0</v>
      </c>
      <c r="BU25" s="42"/>
      <c r="BV25" s="61">
        <f>BV20-BV22-BV23</f>
        <v>0</v>
      </c>
      <c r="BW25" s="42"/>
      <c r="BX25" s="61">
        <f>BX20-BX22-BX23</f>
        <v>0</v>
      </c>
      <c r="BY25" s="42"/>
      <c r="BZ25" s="61">
        <f>BZ20-BZ22-BZ23</f>
        <v>0</v>
      </c>
      <c r="CA25" s="42"/>
      <c r="CB25" s="61">
        <f>CB20-CB22-CB23</f>
        <v>0</v>
      </c>
      <c r="CC25" s="42"/>
      <c r="CD25" s="61">
        <f>CD20-CD22-CD23</f>
        <v>0</v>
      </c>
      <c r="CE25" s="42"/>
      <c r="CF25" s="61">
        <f>CF20-CF22-CF23</f>
        <v>0</v>
      </c>
      <c r="CG25" s="42"/>
      <c r="CH25" s="61">
        <f>CH20-CH22-CH23</f>
        <v>0</v>
      </c>
      <c r="CI25" s="42"/>
      <c r="CJ25" s="61">
        <f>CJ20-CJ22-CJ23</f>
        <v>0</v>
      </c>
      <c r="CK25" s="42"/>
      <c r="CL25" s="61">
        <f>CL20-CL22-CL23</f>
        <v>0</v>
      </c>
      <c r="CM25" s="42"/>
      <c r="CN25" s="61">
        <f>CN20-CN22-CN23</f>
        <v>0</v>
      </c>
      <c r="CO25" s="42"/>
      <c r="CP25" s="61">
        <f>CP20-CP22-CP23</f>
        <v>0</v>
      </c>
      <c r="CQ25" s="42"/>
      <c r="CR25" s="61">
        <f>CR20-CR22-CR23</f>
        <v>0</v>
      </c>
      <c r="CS25" s="42"/>
      <c r="CT25" s="61">
        <f>CT20-CT22-CT23</f>
        <v>0</v>
      </c>
      <c r="CU25" s="42"/>
      <c r="CV25" s="61">
        <f>CV20-CV22-CV23</f>
        <v>0</v>
      </c>
      <c r="CW25" s="42"/>
      <c r="CX25" s="61">
        <f>CX20-CX22-CX23</f>
        <v>0</v>
      </c>
      <c r="CY25" s="42"/>
      <c r="CZ25" s="61">
        <f>CZ20-CZ22-CZ23</f>
        <v>0</v>
      </c>
      <c r="DA25" s="42"/>
      <c r="DB25" s="61">
        <f>DB20-DB22-DB23</f>
        <v>0</v>
      </c>
      <c r="DC25" s="42"/>
      <c r="DD25" s="61">
        <f>DD20-DD22-DD23</f>
        <v>0</v>
      </c>
      <c r="DE25" s="42"/>
      <c r="DF25" s="61">
        <f>DF20-DF22-DF23</f>
        <v>0</v>
      </c>
      <c r="DG25" s="42"/>
    </row>
    <row r="26" spans="1:111" ht="12.75" customHeight="1" thickBot="1">
      <c r="A26" s="131"/>
      <c r="B26" s="131"/>
      <c r="C26" s="131"/>
      <c r="D26" s="131"/>
      <c r="E26" s="131"/>
      <c r="F26" s="131"/>
      <c r="G26" s="131"/>
      <c r="H26" s="131"/>
      <c r="I26" s="131"/>
      <c r="J26" s="132"/>
      <c r="K26" s="131"/>
      <c r="L26" s="132"/>
      <c r="M26" s="131"/>
      <c r="N26" s="132"/>
      <c r="O26" s="131"/>
      <c r="P26" s="132"/>
      <c r="Q26" s="131"/>
      <c r="R26" s="132"/>
      <c r="S26" s="131"/>
      <c r="T26" s="132"/>
      <c r="U26" s="131"/>
      <c r="V26" s="132"/>
      <c r="W26" s="131"/>
      <c r="X26" s="132"/>
      <c r="Y26" s="131"/>
      <c r="Z26" s="132"/>
      <c r="AA26" s="131"/>
      <c r="AB26" s="132"/>
      <c r="AC26" s="131"/>
      <c r="AD26" s="132"/>
      <c r="AE26" s="131"/>
      <c r="AF26" s="132"/>
      <c r="AG26" s="131"/>
      <c r="AH26" s="132"/>
      <c r="AI26" s="131"/>
      <c r="AJ26" s="132"/>
      <c r="AK26" s="131"/>
      <c r="AL26" s="132"/>
      <c r="AM26" s="131"/>
      <c r="AN26" s="132"/>
      <c r="AO26" s="131"/>
      <c r="AP26" s="132"/>
      <c r="AQ26" s="131"/>
      <c r="AR26" s="132"/>
      <c r="AS26" s="131"/>
      <c r="AT26" s="132"/>
      <c r="AU26" s="131"/>
      <c r="AV26" s="132"/>
      <c r="AW26" s="131"/>
      <c r="AX26" s="132"/>
      <c r="AY26" s="131"/>
      <c r="AZ26" s="132"/>
      <c r="BA26" s="131"/>
      <c r="BB26" s="132"/>
      <c r="BC26" s="131"/>
      <c r="BD26" s="132"/>
      <c r="BE26" s="131"/>
      <c r="BF26" s="132"/>
      <c r="BG26" s="131"/>
      <c r="BH26" s="132"/>
      <c r="BI26" s="131"/>
      <c r="BJ26" s="132"/>
      <c r="BK26" s="131"/>
      <c r="BL26" s="132"/>
      <c r="BM26" s="131"/>
      <c r="BN26" s="132"/>
      <c r="BO26" s="131"/>
      <c r="BP26" s="132"/>
      <c r="BQ26" s="131"/>
      <c r="BR26" s="132"/>
      <c r="BS26" s="131"/>
      <c r="BT26" s="132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1"/>
      <c r="CF26" s="132"/>
      <c r="CG26" s="131"/>
      <c r="CH26" s="132"/>
      <c r="CI26" s="131"/>
      <c r="CJ26" s="132"/>
      <c r="CK26" s="131"/>
      <c r="CL26" s="132"/>
      <c r="CM26" s="131"/>
      <c r="CN26" s="132"/>
      <c r="CO26" s="131"/>
      <c r="CP26" s="132"/>
      <c r="CQ26" s="131"/>
      <c r="CR26" s="132"/>
      <c r="CS26" s="131"/>
      <c r="CT26" s="132"/>
      <c r="CU26" s="131"/>
      <c r="CV26" s="132"/>
      <c r="CW26" s="131"/>
      <c r="CX26" s="132"/>
      <c r="CY26" s="131"/>
      <c r="CZ26" s="132"/>
      <c r="DA26" s="131"/>
      <c r="DB26" s="132"/>
      <c r="DC26" s="131"/>
      <c r="DD26" s="132"/>
      <c r="DE26" s="131"/>
      <c r="DF26" s="132"/>
      <c r="DG26" s="131"/>
    </row>
    <row r="27" spans="1:111" ht="12.75" customHeight="1" thickTop="1">
      <c r="A27" s="2"/>
      <c r="B27" s="2"/>
      <c r="C27" s="2"/>
      <c r="D27" s="2"/>
      <c r="E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2"/>
      <c r="AZ27" s="1"/>
      <c r="BA27" s="2"/>
      <c r="BB27" s="1"/>
      <c r="BC27" s="2"/>
      <c r="BD27" s="1"/>
      <c r="BE27" s="2"/>
      <c r="BF27" s="1"/>
      <c r="BG27" s="2"/>
      <c r="BH27" s="1"/>
      <c r="BI27" s="2"/>
      <c r="BJ27" s="1"/>
      <c r="BK27" s="2"/>
      <c r="BL27" s="1"/>
      <c r="BM27" s="2"/>
      <c r="BN27" s="1"/>
      <c r="BO27" s="2"/>
      <c r="BP27" s="1"/>
      <c r="BQ27" s="2"/>
      <c r="BR27" s="1"/>
      <c r="BS27" s="2"/>
      <c r="BT27" s="1"/>
      <c r="BU27" s="2"/>
      <c r="BV27" s="1"/>
      <c r="BW27" s="2"/>
      <c r="BX27" s="1"/>
      <c r="BY27" s="2"/>
      <c r="BZ27" s="1"/>
      <c r="CA27" s="2"/>
      <c r="CB27" s="1"/>
      <c r="CC27" s="2"/>
      <c r="CD27" s="1"/>
      <c r="CE27" s="2"/>
      <c r="CF27" s="1"/>
      <c r="CG27" s="2"/>
      <c r="CH27" s="1"/>
      <c r="CI27" s="2"/>
      <c r="CJ27" s="1"/>
      <c r="CK27" s="2"/>
      <c r="CL27" s="1"/>
      <c r="CM27" s="2"/>
      <c r="CN27" s="1"/>
      <c r="CO27" s="2"/>
      <c r="CP27" s="1"/>
      <c r="CQ27" s="2"/>
      <c r="CR27" s="1"/>
      <c r="CS27" s="2"/>
      <c r="CT27" s="1"/>
      <c r="CU27" s="2"/>
      <c r="CV27" s="1"/>
      <c r="CW27" s="2"/>
      <c r="CX27" s="1"/>
      <c r="CY27" s="2"/>
      <c r="CZ27" s="1"/>
      <c r="DA27" s="2"/>
      <c r="DB27" s="1"/>
      <c r="DC27" s="2"/>
      <c r="DD27" s="1"/>
      <c r="DE27" s="2"/>
      <c r="DF27" s="1"/>
      <c r="DG27" s="2"/>
    </row>
    <row r="28" spans="2:9" s="13" customFormat="1" ht="12.75" customHeight="1">
      <c r="B28" s="64" t="str">
        <f>'Enter and Change Data Here'!$G$7</f>
        <v>Windstorm Power Company</v>
      </c>
      <c r="D28" s="8"/>
      <c r="E28" s="8"/>
      <c r="F28" s="8"/>
      <c r="I28" s="8"/>
    </row>
    <row r="29" spans="2:7" ht="12.75" customHeight="1" collapsed="1">
      <c r="B29" s="130" t="s">
        <v>149</v>
      </c>
      <c r="C29" s="130"/>
      <c r="D29" s="130"/>
      <c r="E29" s="130"/>
      <c r="F29" s="130"/>
      <c r="G29" s="130"/>
    </row>
    <row r="30" spans="1:112" ht="12.75" customHeight="1">
      <c r="A30" s="2"/>
      <c r="B30" s="15" t="s">
        <v>73</v>
      </c>
      <c r="C30" s="2"/>
      <c r="D30" s="2"/>
      <c r="E30" s="2"/>
      <c r="J30" s="128">
        <f>'Enter and Change Data Here'!$G$12</f>
        <v>2004</v>
      </c>
      <c r="K30" s="129"/>
      <c r="L30" s="128">
        <f>J30+1</f>
        <v>2005</v>
      </c>
      <c r="M30" s="129"/>
      <c r="N30" s="128">
        <f>L30+1</f>
        <v>2006</v>
      </c>
      <c r="O30" s="129"/>
      <c r="P30" s="128">
        <f>N30+1</f>
        <v>2007</v>
      </c>
      <c r="Q30" s="129"/>
      <c r="R30" s="128">
        <f>P30+1</f>
        <v>2008</v>
      </c>
      <c r="S30" s="129"/>
      <c r="T30" s="128">
        <f>R30+1</f>
        <v>2009</v>
      </c>
      <c r="U30" s="129"/>
      <c r="V30" s="128">
        <f>T30+1</f>
        <v>2010</v>
      </c>
      <c r="W30" s="129"/>
      <c r="X30" s="128">
        <f>V30+1</f>
        <v>2011</v>
      </c>
      <c r="Y30" s="129"/>
      <c r="Z30" s="128">
        <f>X30+1</f>
        <v>2012</v>
      </c>
      <c r="AA30" s="129"/>
      <c r="AB30" s="128">
        <f>Z30+1</f>
        <v>2013</v>
      </c>
      <c r="AC30" s="129"/>
      <c r="AD30" s="128">
        <f>AB30+1</f>
        <v>2014</v>
      </c>
      <c r="AE30" s="129"/>
      <c r="AF30" s="128">
        <f>AD30+1</f>
        <v>2015</v>
      </c>
      <c r="AG30" s="129"/>
      <c r="AH30" s="128">
        <f>AF30+1</f>
        <v>2016</v>
      </c>
      <c r="AI30" s="129"/>
      <c r="AJ30" s="128">
        <f>AH30+1</f>
        <v>2017</v>
      </c>
      <c r="AK30" s="129"/>
      <c r="AL30" s="128">
        <f>AJ30+1</f>
        <v>2018</v>
      </c>
      <c r="AM30" s="129"/>
      <c r="AN30" s="128">
        <f>AL30+1</f>
        <v>2019</v>
      </c>
      <c r="AO30" s="129"/>
      <c r="AP30" s="128">
        <f>AN30+1</f>
        <v>2020</v>
      </c>
      <c r="AQ30" s="129"/>
      <c r="AR30" s="128">
        <f>AP30+1</f>
        <v>2021</v>
      </c>
      <c r="AS30" s="129"/>
      <c r="AT30" s="128">
        <f>AR30+1</f>
        <v>2022</v>
      </c>
      <c r="AU30" s="129"/>
      <c r="AV30" s="128">
        <f>AT30+1</f>
        <v>2023</v>
      </c>
      <c r="AW30" s="129"/>
      <c r="AX30" s="128">
        <f>AV30+1</f>
        <v>2024</v>
      </c>
      <c r="AY30" s="129"/>
      <c r="AZ30" s="128">
        <f>AX30+1</f>
        <v>2025</v>
      </c>
      <c r="BA30" s="129"/>
      <c r="BB30" s="128">
        <f>AZ30+1</f>
        <v>2026</v>
      </c>
      <c r="BC30" s="129"/>
      <c r="BD30" s="128">
        <f>BB30+1</f>
        <v>2027</v>
      </c>
      <c r="BE30" s="129"/>
      <c r="BF30" s="128">
        <f>BD30+1</f>
        <v>2028</v>
      </c>
      <c r="BG30" s="129"/>
      <c r="BH30" s="128">
        <f>BF30+1</f>
        <v>2029</v>
      </c>
      <c r="BI30" s="129"/>
      <c r="BJ30" s="128">
        <f>BH30+1</f>
        <v>2030</v>
      </c>
      <c r="BK30" s="129"/>
      <c r="BL30" s="128">
        <f>BJ30+1</f>
        <v>2031</v>
      </c>
      <c r="BM30" s="129"/>
      <c r="BN30" s="128">
        <f>BL30+1</f>
        <v>2032</v>
      </c>
      <c r="BO30" s="129"/>
      <c r="BP30" s="128">
        <f>BN30+1</f>
        <v>2033</v>
      </c>
      <c r="BQ30" s="129"/>
      <c r="BR30" s="128">
        <f>BP30+1</f>
        <v>2034</v>
      </c>
      <c r="BS30" s="129"/>
      <c r="BT30" s="128">
        <f>BR30+1</f>
        <v>2035</v>
      </c>
      <c r="BU30" s="129"/>
      <c r="BV30" s="128">
        <f>BT30+1</f>
        <v>2036</v>
      </c>
      <c r="BW30" s="129"/>
      <c r="BX30" s="128">
        <f>BV30+1</f>
        <v>2037</v>
      </c>
      <c r="BY30" s="129"/>
      <c r="BZ30" s="128">
        <f>BX30+1</f>
        <v>2038</v>
      </c>
      <c r="CA30" s="129"/>
      <c r="CB30" s="128">
        <f>BZ30+1</f>
        <v>2039</v>
      </c>
      <c r="CC30" s="129"/>
      <c r="CD30" s="128">
        <f>CB30+1</f>
        <v>2040</v>
      </c>
      <c r="CE30" s="129"/>
      <c r="CF30" s="128">
        <f>CD30+1</f>
        <v>2041</v>
      </c>
      <c r="CG30" s="129"/>
      <c r="CH30" s="128">
        <f>CF30+1</f>
        <v>2042</v>
      </c>
      <c r="CI30" s="129"/>
      <c r="CJ30" s="128">
        <f>CH30+1</f>
        <v>2043</v>
      </c>
      <c r="CK30" s="129"/>
      <c r="CL30" s="128">
        <f>CJ30+1</f>
        <v>2044</v>
      </c>
      <c r="CM30" s="129"/>
      <c r="CN30" s="128">
        <f>CL30+1</f>
        <v>2045</v>
      </c>
      <c r="CO30" s="129"/>
      <c r="CP30" s="128">
        <f>CN30+1</f>
        <v>2046</v>
      </c>
      <c r="CQ30" s="129"/>
      <c r="CR30" s="128">
        <f>CP30+1</f>
        <v>2047</v>
      </c>
      <c r="CS30" s="129"/>
      <c r="CT30" s="128">
        <f>CR30+1</f>
        <v>2048</v>
      </c>
      <c r="CU30" s="129"/>
      <c r="CV30" s="128">
        <f>CT30+1</f>
        <v>2049</v>
      </c>
      <c r="CW30" s="129"/>
      <c r="CX30" s="128">
        <f>CV30+1</f>
        <v>2050</v>
      </c>
      <c r="CY30" s="129"/>
      <c r="CZ30" s="128">
        <f>CX30+1</f>
        <v>2051</v>
      </c>
      <c r="DA30" s="129"/>
      <c r="DB30" s="128">
        <f>CZ30+1</f>
        <v>2052</v>
      </c>
      <c r="DC30" s="129"/>
      <c r="DD30" s="128">
        <f>DB30+1</f>
        <v>2053</v>
      </c>
      <c r="DE30" s="129"/>
      <c r="DF30" s="128">
        <f>DD30+1</f>
        <v>2054</v>
      </c>
      <c r="DG30" s="129"/>
      <c r="DH30" s="13"/>
    </row>
    <row r="31" spans="2:5" ht="12.75" customHeight="1">
      <c r="B31" s="41" t="str">
        <f>CONCATENATE("(in ",'Enter and Change Data Here'!$G$13,")")</f>
        <v>(in $US)</v>
      </c>
      <c r="D31" s="2"/>
      <c r="E31" s="2"/>
    </row>
    <row r="32" spans="2:5" ht="12.75" customHeight="1">
      <c r="B32" s="41"/>
      <c r="D32" s="2"/>
      <c r="E32" s="2"/>
    </row>
    <row r="33" spans="3:111" ht="12.75" customHeight="1">
      <c r="C33" s="15" t="s">
        <v>60</v>
      </c>
      <c r="D33" s="2"/>
      <c r="E33" s="2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</row>
    <row r="34" spans="1:111" ht="12.75" customHeight="1">
      <c r="A34" s="2"/>
      <c r="B34" s="2"/>
      <c r="C34" s="2"/>
      <c r="D34" s="2"/>
      <c r="E34" s="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</row>
    <row r="35" spans="1:111" ht="12.75" customHeight="1">
      <c r="A35" s="2"/>
      <c r="B35" s="2"/>
      <c r="C35" s="2" t="s">
        <v>7</v>
      </c>
      <c r="D35" s="2"/>
      <c r="E35" s="2"/>
      <c r="J35" s="1">
        <f>J86</f>
        <v>1000000</v>
      </c>
      <c r="K35" s="42"/>
      <c r="L35" s="1">
        <f>L86</f>
        <v>8406762.246831827</v>
      </c>
      <c r="M35" s="42"/>
      <c r="N35" s="1">
        <f>N86</f>
        <v>17799032.218600288</v>
      </c>
      <c r="O35" s="42"/>
      <c r="P35" s="1">
        <f>P86</f>
        <v>28365331.493804127</v>
      </c>
      <c r="Q35" s="42"/>
      <c r="R35" s="1">
        <f>R86</f>
        <v>39251873.41435204</v>
      </c>
      <c r="S35" s="42"/>
      <c r="T35" s="1">
        <f>T86</f>
        <v>50465468.2488693</v>
      </c>
      <c r="U35" s="42"/>
      <c r="V35" s="1">
        <f>V86</f>
        <v>62013052.8504933</v>
      </c>
      <c r="W35" s="42"/>
      <c r="X35" s="1">
        <f>X86</f>
        <v>73901692.81885478</v>
      </c>
      <c r="Y35" s="42"/>
      <c r="Z35" s="1">
        <f>Z86</f>
        <v>85883811.38295546</v>
      </c>
      <c r="AA35" s="42"/>
      <c r="AB35" s="1">
        <f>AB86</f>
        <v>92853146.78422792</v>
      </c>
      <c r="AC35" s="42"/>
      <c r="AD35" s="1">
        <f>AD86</f>
        <v>99920354.36753488</v>
      </c>
      <c r="AE35" s="42"/>
      <c r="AF35" s="1">
        <f>AF86</f>
        <v>107082090.73368266</v>
      </c>
      <c r="AG35" s="42"/>
      <c r="AH35" s="1">
        <f>AH86</f>
        <v>114334540.10061885</v>
      </c>
      <c r="AI35" s="42"/>
      <c r="AJ35" s="1">
        <f>AJ86</f>
        <v>121673370.12152223</v>
      </c>
      <c r="AK35" s="42"/>
      <c r="AL35" s="1">
        <f>AL86</f>
        <v>129093683.72335027</v>
      </c>
      <c r="AM35" s="42"/>
      <c r="AN35" s="1">
        <f>AN86</f>
        <v>136589966.60807452</v>
      </c>
      <c r="AO35" s="42"/>
      <c r="AP35" s="1">
        <f>AP86</f>
        <v>144156030.02664894</v>
      </c>
      <c r="AQ35" s="42"/>
      <c r="AR35" s="1">
        <f>AR86</f>
        <v>151784948.40067482</v>
      </c>
      <c r="AS35" s="42"/>
      <c r="AT35" s="1">
        <f>AT86</f>
        <v>159468991.32848746</v>
      </c>
      <c r="AU35" s="42"/>
      <c r="AV35" s="1">
        <f>AV86</f>
        <v>167199549.47071037</v>
      </c>
      <c r="AW35" s="42"/>
      <c r="AX35" s="1">
        <f>AX86</f>
        <v>174967053.76489252</v>
      </c>
      <c r="AY35" s="42"/>
      <c r="AZ35" s="1">
        <f>AZ86</f>
        <v>186860989.12249386</v>
      </c>
      <c r="BA35" s="42"/>
      <c r="BB35" s="1">
        <f>BB86</f>
        <v>198966298.07265154</v>
      </c>
      <c r="BC35" s="42"/>
      <c r="BD35" s="1">
        <f>BD86</f>
        <v>211285617.6233817</v>
      </c>
      <c r="BE35" s="42"/>
      <c r="BF35" s="1">
        <f>BF86</f>
        <v>223821605.7132702</v>
      </c>
      <c r="BG35" s="42"/>
      <c r="BH35" s="1">
        <f>BH86</f>
        <v>236576941.12112862</v>
      </c>
      <c r="BI35" s="42"/>
      <c r="BJ35" s="1">
        <f>BJ86</f>
        <v>0</v>
      </c>
      <c r="BK35" s="42"/>
      <c r="BL35" s="1">
        <f>BL86</f>
        <v>0</v>
      </c>
      <c r="BM35" s="42"/>
      <c r="BN35" s="1">
        <f>BN86</f>
        <v>0</v>
      </c>
      <c r="BO35" s="42"/>
      <c r="BP35" s="1">
        <f>BP86</f>
        <v>0</v>
      </c>
      <c r="BQ35" s="42"/>
      <c r="BR35" s="1">
        <f>BR86</f>
        <v>0</v>
      </c>
      <c r="BS35" s="42"/>
      <c r="BT35" s="1">
        <f>BT86</f>
        <v>0</v>
      </c>
      <c r="BU35" s="42"/>
      <c r="BV35" s="1">
        <f>BV86</f>
        <v>0</v>
      </c>
      <c r="BW35" s="42"/>
      <c r="BX35" s="1">
        <f>BX86</f>
        <v>0</v>
      </c>
      <c r="BY35" s="42"/>
      <c r="BZ35" s="1">
        <f>BZ86</f>
        <v>0</v>
      </c>
      <c r="CA35" s="42"/>
      <c r="CB35" s="1">
        <f>CB86</f>
        <v>0</v>
      </c>
      <c r="CC35" s="42"/>
      <c r="CD35" s="1">
        <f>CD86</f>
        <v>0</v>
      </c>
      <c r="CE35" s="42"/>
      <c r="CF35" s="1">
        <f>CF86</f>
        <v>0</v>
      </c>
      <c r="CG35" s="42"/>
      <c r="CH35" s="1">
        <f>CH86</f>
        <v>0</v>
      </c>
      <c r="CI35" s="42"/>
      <c r="CJ35" s="1">
        <f>CJ86</f>
        <v>0</v>
      </c>
      <c r="CK35" s="42"/>
      <c r="CL35" s="1">
        <f>CL86</f>
        <v>0</v>
      </c>
      <c r="CM35" s="42"/>
      <c r="CN35" s="1">
        <f>CN86</f>
        <v>0</v>
      </c>
      <c r="CO35" s="42"/>
      <c r="CP35" s="1">
        <f>CP86</f>
        <v>0</v>
      </c>
      <c r="CQ35" s="42"/>
      <c r="CR35" s="1">
        <f>CR86</f>
        <v>0</v>
      </c>
      <c r="CS35" s="42"/>
      <c r="CT35" s="1">
        <f>CT86</f>
        <v>0</v>
      </c>
      <c r="CU35" s="42"/>
      <c r="CV35" s="1">
        <f>CV86</f>
        <v>0</v>
      </c>
      <c r="CW35" s="42"/>
      <c r="CX35" s="1">
        <f>CX86</f>
        <v>0</v>
      </c>
      <c r="CY35" s="42"/>
      <c r="CZ35" s="1">
        <f>CZ86</f>
        <v>0</v>
      </c>
      <c r="DA35" s="42"/>
      <c r="DB35" s="1">
        <f>DB86</f>
        <v>0</v>
      </c>
      <c r="DC35" s="42"/>
      <c r="DD35" s="1">
        <f>DD86</f>
        <v>0</v>
      </c>
      <c r="DE35" s="42"/>
      <c r="DF35" s="1">
        <f>DF86</f>
        <v>0</v>
      </c>
      <c r="DG35" s="42"/>
    </row>
    <row r="36" spans="1:111" ht="12.75" customHeight="1">
      <c r="A36" s="2"/>
      <c r="B36" s="2"/>
      <c r="C36" s="2"/>
      <c r="D36" s="2"/>
      <c r="E36" s="2"/>
      <c r="J36" s="1"/>
      <c r="K36" s="42"/>
      <c r="L36" s="1"/>
      <c r="M36" s="42"/>
      <c r="N36" s="1"/>
      <c r="O36" s="42"/>
      <c r="P36" s="1"/>
      <c r="Q36" s="42"/>
      <c r="R36" s="1"/>
      <c r="S36" s="42"/>
      <c r="T36" s="1"/>
      <c r="U36" s="42"/>
      <c r="V36" s="1"/>
      <c r="W36" s="42"/>
      <c r="X36" s="1"/>
      <c r="Y36" s="42"/>
      <c r="Z36" s="1"/>
      <c r="AA36" s="42"/>
      <c r="AB36" s="1"/>
      <c r="AC36" s="42"/>
      <c r="AD36" s="1"/>
      <c r="AE36" s="42"/>
      <c r="AF36" s="1"/>
      <c r="AG36" s="42"/>
      <c r="AH36" s="1"/>
      <c r="AI36" s="42"/>
      <c r="AJ36" s="1"/>
      <c r="AK36" s="42"/>
      <c r="AL36" s="1"/>
      <c r="AM36" s="42"/>
      <c r="AN36" s="1"/>
      <c r="AO36" s="42"/>
      <c r="AP36" s="1"/>
      <c r="AQ36" s="42"/>
      <c r="AR36" s="1"/>
      <c r="AS36" s="42"/>
      <c r="AT36" s="1"/>
      <c r="AU36" s="42"/>
      <c r="AV36" s="1"/>
      <c r="AW36" s="42"/>
      <c r="AX36" s="1"/>
      <c r="AY36" s="42"/>
      <c r="AZ36" s="1"/>
      <c r="BA36" s="42"/>
      <c r="BB36" s="1"/>
      <c r="BC36" s="42"/>
      <c r="BD36" s="1"/>
      <c r="BE36" s="42"/>
      <c r="BF36" s="1"/>
      <c r="BG36" s="42"/>
      <c r="BH36" s="1"/>
      <c r="BI36" s="42"/>
      <c r="BJ36" s="1"/>
      <c r="BK36" s="42"/>
      <c r="BL36" s="1"/>
      <c r="BM36" s="42"/>
      <c r="BN36" s="1"/>
      <c r="BO36" s="42"/>
      <c r="BP36" s="1"/>
      <c r="BQ36" s="42"/>
      <c r="BR36" s="1"/>
      <c r="BS36" s="42"/>
      <c r="BT36" s="1"/>
      <c r="BU36" s="42"/>
      <c r="BV36" s="1"/>
      <c r="BW36" s="42"/>
      <c r="BX36" s="1"/>
      <c r="BY36" s="42"/>
      <c r="BZ36" s="1"/>
      <c r="CA36" s="42"/>
      <c r="CB36" s="1"/>
      <c r="CC36" s="42"/>
      <c r="CD36" s="1"/>
      <c r="CE36" s="42"/>
      <c r="CF36" s="1"/>
      <c r="CG36" s="42"/>
      <c r="CH36" s="1"/>
      <c r="CI36" s="42"/>
      <c r="CJ36" s="1"/>
      <c r="CK36" s="42"/>
      <c r="CL36" s="1"/>
      <c r="CM36" s="42"/>
      <c r="CN36" s="1"/>
      <c r="CO36" s="42"/>
      <c r="CP36" s="1"/>
      <c r="CQ36" s="42"/>
      <c r="CR36" s="1"/>
      <c r="CS36" s="42"/>
      <c r="CT36" s="1"/>
      <c r="CU36" s="42"/>
      <c r="CV36" s="1"/>
      <c r="CW36" s="42"/>
      <c r="CX36" s="1"/>
      <c r="CY36" s="42"/>
      <c r="CZ36" s="1"/>
      <c r="DA36" s="42"/>
      <c r="DB36" s="1"/>
      <c r="DC36" s="42"/>
      <c r="DD36" s="1"/>
      <c r="DE36" s="42"/>
      <c r="DF36" s="1"/>
      <c r="DG36" s="42"/>
    </row>
    <row r="37" spans="1:111" ht="12.75" customHeight="1">
      <c r="A37" s="2"/>
      <c r="B37" s="2"/>
      <c r="C37" s="2" t="s">
        <v>61</v>
      </c>
      <c r="D37" s="2"/>
      <c r="E37" s="2"/>
      <c r="J37" s="1">
        <f>'Cash Flow'!I45</f>
        <v>84330000</v>
      </c>
      <c r="K37" s="42"/>
      <c r="L37" s="1">
        <f>'Cash Flow'!K45</f>
        <v>84330000</v>
      </c>
      <c r="M37" s="42"/>
      <c r="N37" s="1">
        <f>'Cash Flow'!M45</f>
        <v>84330000</v>
      </c>
      <c r="O37" s="42"/>
      <c r="P37" s="1">
        <f>'Cash Flow'!O45</f>
        <v>84330000</v>
      </c>
      <c r="Q37" s="42"/>
      <c r="R37" s="1">
        <f>'Cash Flow'!Q45</f>
        <v>84330000</v>
      </c>
      <c r="S37" s="42"/>
      <c r="T37" s="1">
        <f>'Cash Flow'!S45</f>
        <v>84330000</v>
      </c>
      <c r="U37" s="42"/>
      <c r="V37" s="1">
        <f>'Cash Flow'!U45</f>
        <v>84330000</v>
      </c>
      <c r="W37" s="42"/>
      <c r="X37" s="1">
        <f>'Cash Flow'!W45</f>
        <v>84330000</v>
      </c>
      <c r="Y37" s="42"/>
      <c r="Z37" s="1">
        <f>'Cash Flow'!Y45</f>
        <v>84330000</v>
      </c>
      <c r="AA37" s="42"/>
      <c r="AB37" s="1">
        <f>'Cash Flow'!AA45</f>
        <v>84330000</v>
      </c>
      <c r="AC37" s="42"/>
      <c r="AD37" s="1">
        <f>'Cash Flow'!AC45</f>
        <v>84330000</v>
      </c>
      <c r="AE37" s="42"/>
      <c r="AF37" s="1">
        <f>'Cash Flow'!AE45</f>
        <v>84330000</v>
      </c>
      <c r="AG37" s="42"/>
      <c r="AH37" s="1">
        <f>'Cash Flow'!AG45</f>
        <v>84330000</v>
      </c>
      <c r="AI37" s="42"/>
      <c r="AJ37" s="1">
        <f>'Cash Flow'!AI45</f>
        <v>84330000</v>
      </c>
      <c r="AK37" s="42"/>
      <c r="AL37" s="1">
        <f>'Cash Flow'!AK45</f>
        <v>84330000</v>
      </c>
      <c r="AM37" s="42"/>
      <c r="AN37" s="1">
        <f>'Cash Flow'!AM45</f>
        <v>84330000</v>
      </c>
      <c r="AO37" s="42"/>
      <c r="AP37" s="1">
        <f>'Cash Flow'!AO45</f>
        <v>84330000</v>
      </c>
      <c r="AQ37" s="42"/>
      <c r="AR37" s="1">
        <f>'Cash Flow'!AQ45</f>
        <v>84330000</v>
      </c>
      <c r="AS37" s="42"/>
      <c r="AT37" s="1">
        <f>'Cash Flow'!AS45</f>
        <v>84330000</v>
      </c>
      <c r="AU37" s="42"/>
      <c r="AV37" s="1">
        <f>'Cash Flow'!AU45</f>
        <v>84330000</v>
      </c>
      <c r="AW37" s="42"/>
      <c r="AX37" s="1">
        <f>'Cash Flow'!AW45</f>
        <v>84330000</v>
      </c>
      <c r="AY37" s="42"/>
      <c r="AZ37" s="1">
        <f>'Cash Flow'!AY45</f>
        <v>84330000</v>
      </c>
      <c r="BA37" s="42"/>
      <c r="BB37" s="1">
        <f>'Cash Flow'!BA45</f>
        <v>84330000</v>
      </c>
      <c r="BC37" s="42"/>
      <c r="BD37" s="1">
        <f>'Cash Flow'!BC45</f>
        <v>84330000</v>
      </c>
      <c r="BE37" s="42"/>
      <c r="BF37" s="1">
        <f>'Cash Flow'!BE45</f>
        <v>84330000</v>
      </c>
      <c r="BG37" s="42"/>
      <c r="BH37" s="1">
        <f>'Cash Flow'!BG45</f>
        <v>84330000</v>
      </c>
      <c r="BI37" s="42"/>
      <c r="BJ37" s="1">
        <f>'Cash Flow'!BI45</f>
        <v>0</v>
      </c>
      <c r="BK37" s="42"/>
      <c r="BL37" s="1">
        <f>'Cash Flow'!BK45</f>
        <v>0</v>
      </c>
      <c r="BM37" s="42"/>
      <c r="BN37" s="1">
        <f>'Cash Flow'!BM45</f>
        <v>0</v>
      </c>
      <c r="BO37" s="42"/>
      <c r="BP37" s="1">
        <f>'Cash Flow'!BO45</f>
        <v>0</v>
      </c>
      <c r="BQ37" s="42"/>
      <c r="BR37" s="1">
        <f>'Cash Flow'!BQ45</f>
        <v>0</v>
      </c>
      <c r="BS37" s="42"/>
      <c r="BT37" s="1">
        <f>'Cash Flow'!BS45</f>
        <v>0</v>
      </c>
      <c r="BU37" s="42"/>
      <c r="BV37" s="1">
        <f>'Cash Flow'!BU45</f>
        <v>0</v>
      </c>
      <c r="BW37" s="42"/>
      <c r="BX37" s="1">
        <f>'Cash Flow'!BW45</f>
        <v>0</v>
      </c>
      <c r="BY37" s="42"/>
      <c r="BZ37" s="1">
        <f>'Cash Flow'!BY45</f>
        <v>0</v>
      </c>
      <c r="CA37" s="42"/>
      <c r="CB37" s="1">
        <f>'Cash Flow'!CA45</f>
        <v>0</v>
      </c>
      <c r="CC37" s="42"/>
      <c r="CD37" s="1">
        <f>'Cash Flow'!CC45</f>
        <v>0</v>
      </c>
      <c r="CE37" s="42"/>
      <c r="CF37" s="1">
        <f>'Cash Flow'!CE45</f>
        <v>0</v>
      </c>
      <c r="CG37" s="42"/>
      <c r="CH37" s="1">
        <f>'Cash Flow'!CG45</f>
        <v>0</v>
      </c>
      <c r="CI37" s="42"/>
      <c r="CJ37" s="1">
        <f>'Cash Flow'!CI45</f>
        <v>0</v>
      </c>
      <c r="CK37" s="42"/>
      <c r="CL37" s="1">
        <f>'Cash Flow'!CK45</f>
        <v>0</v>
      </c>
      <c r="CM37" s="42"/>
      <c r="CN37" s="1">
        <f>'Cash Flow'!CM45</f>
        <v>0</v>
      </c>
      <c r="CO37" s="42"/>
      <c r="CP37" s="1">
        <f>'Cash Flow'!CO45</f>
        <v>0</v>
      </c>
      <c r="CQ37" s="42"/>
      <c r="CR37" s="1">
        <f>'Cash Flow'!CQ45</f>
        <v>0</v>
      </c>
      <c r="CS37" s="42"/>
      <c r="CT37" s="1">
        <f>'Cash Flow'!CS45</f>
        <v>0</v>
      </c>
      <c r="CU37" s="42"/>
      <c r="CV37" s="1">
        <f>'Cash Flow'!CU45</f>
        <v>0</v>
      </c>
      <c r="CW37" s="42"/>
      <c r="CX37" s="1">
        <f>'Cash Flow'!CW45</f>
        <v>0</v>
      </c>
      <c r="CY37" s="42"/>
      <c r="CZ37" s="1">
        <f>'Cash Flow'!CY45</f>
        <v>0</v>
      </c>
      <c r="DA37" s="42"/>
      <c r="DB37" s="1">
        <f>'Cash Flow'!DA45</f>
        <v>0</v>
      </c>
      <c r="DC37" s="42"/>
      <c r="DD37" s="1">
        <f>'Cash Flow'!DC45</f>
        <v>0</v>
      </c>
      <c r="DE37" s="42"/>
      <c r="DF37" s="1">
        <f>'Cash Flow'!DE45</f>
        <v>0</v>
      </c>
      <c r="DG37" s="42"/>
    </row>
    <row r="38" spans="1:111" ht="12.75" customHeight="1">
      <c r="A38" s="2"/>
      <c r="B38" s="2"/>
      <c r="C38" s="2"/>
      <c r="D38" s="2" t="s">
        <v>62</v>
      </c>
      <c r="E38" s="2"/>
      <c r="J38" s="1">
        <f>'Cash Flow'!I46</f>
        <v>0</v>
      </c>
      <c r="K38" s="42"/>
      <c r="L38" s="1">
        <f>'Cash Flow'!K46</f>
        <v>-4216500</v>
      </c>
      <c r="M38" s="42"/>
      <c r="N38" s="1">
        <f>'Cash Flow'!M46</f>
        <v>-8433000</v>
      </c>
      <c r="O38" s="42"/>
      <c r="P38" s="1">
        <f>'Cash Flow'!O46</f>
        <v>-12649500</v>
      </c>
      <c r="Q38" s="42"/>
      <c r="R38" s="1">
        <f>'Cash Flow'!Q46</f>
        <v>-16866000</v>
      </c>
      <c r="S38" s="42"/>
      <c r="T38" s="1">
        <f>'Cash Flow'!S46</f>
        <v>-21082500</v>
      </c>
      <c r="U38" s="42"/>
      <c r="V38" s="1">
        <f>'Cash Flow'!U46</f>
        <v>-25299000</v>
      </c>
      <c r="W38" s="42"/>
      <c r="X38" s="1">
        <f>'Cash Flow'!W46</f>
        <v>-29515500</v>
      </c>
      <c r="Y38" s="42"/>
      <c r="Z38" s="1">
        <f>'Cash Flow'!Y46</f>
        <v>-33732000</v>
      </c>
      <c r="AA38" s="42"/>
      <c r="AB38" s="1">
        <f>'Cash Flow'!AA46</f>
        <v>-37948500</v>
      </c>
      <c r="AC38" s="42"/>
      <c r="AD38" s="1">
        <f>'Cash Flow'!AC46</f>
        <v>-42165000</v>
      </c>
      <c r="AE38" s="42"/>
      <c r="AF38" s="1">
        <f>'Cash Flow'!AE46</f>
        <v>-46381500</v>
      </c>
      <c r="AG38" s="42"/>
      <c r="AH38" s="1">
        <f>'Cash Flow'!AG46</f>
        <v>-50598000</v>
      </c>
      <c r="AI38" s="42"/>
      <c r="AJ38" s="1">
        <f>'Cash Flow'!AI46</f>
        <v>-54814500</v>
      </c>
      <c r="AK38" s="42"/>
      <c r="AL38" s="1">
        <f>'Cash Flow'!AK46</f>
        <v>-59031000</v>
      </c>
      <c r="AM38" s="42"/>
      <c r="AN38" s="1">
        <f>'Cash Flow'!AM46</f>
        <v>-63247500</v>
      </c>
      <c r="AO38" s="42"/>
      <c r="AP38" s="1">
        <f>'Cash Flow'!AO46</f>
        <v>-67464000</v>
      </c>
      <c r="AQ38" s="42"/>
      <c r="AR38" s="1">
        <f>'Cash Flow'!AQ46</f>
        <v>-71680500</v>
      </c>
      <c r="AS38" s="42"/>
      <c r="AT38" s="1">
        <f>'Cash Flow'!AS46</f>
        <v>-75897000</v>
      </c>
      <c r="AU38" s="42"/>
      <c r="AV38" s="1">
        <f>'Cash Flow'!AU46</f>
        <v>-80113500</v>
      </c>
      <c r="AW38" s="42"/>
      <c r="AX38" s="1">
        <f>'Cash Flow'!AW46</f>
        <v>-84330000</v>
      </c>
      <c r="AY38" s="42"/>
      <c r="AZ38" s="1">
        <f>'Cash Flow'!AY46</f>
        <v>-84330000</v>
      </c>
      <c r="BA38" s="42"/>
      <c r="BB38" s="1">
        <f>'Cash Flow'!BA46</f>
        <v>-84330000</v>
      </c>
      <c r="BC38" s="42"/>
      <c r="BD38" s="1">
        <f>'Cash Flow'!BC46</f>
        <v>-84330000</v>
      </c>
      <c r="BE38" s="42"/>
      <c r="BF38" s="1">
        <f>'Cash Flow'!BE46</f>
        <v>-84330000</v>
      </c>
      <c r="BG38" s="42"/>
      <c r="BH38" s="1">
        <f>'Cash Flow'!BG46</f>
        <v>-84330000</v>
      </c>
      <c r="BI38" s="42"/>
      <c r="BJ38" s="1">
        <f>'Cash Flow'!BI46</f>
        <v>0</v>
      </c>
      <c r="BK38" s="42"/>
      <c r="BL38" s="1">
        <f>'Cash Flow'!BK46</f>
        <v>0</v>
      </c>
      <c r="BM38" s="42"/>
      <c r="BN38" s="1">
        <f>'Cash Flow'!BM46</f>
        <v>0</v>
      </c>
      <c r="BO38" s="42"/>
      <c r="BP38" s="1">
        <f>'Cash Flow'!BO46</f>
        <v>0</v>
      </c>
      <c r="BQ38" s="42"/>
      <c r="BR38" s="1">
        <f>'Cash Flow'!BQ46</f>
        <v>0</v>
      </c>
      <c r="BS38" s="42"/>
      <c r="BT38" s="1">
        <f>'Cash Flow'!BS46</f>
        <v>0</v>
      </c>
      <c r="BU38" s="42"/>
      <c r="BV38" s="1">
        <f>'Cash Flow'!BU46</f>
        <v>0</v>
      </c>
      <c r="BW38" s="42"/>
      <c r="BX38" s="1">
        <f>'Cash Flow'!BW46</f>
        <v>0</v>
      </c>
      <c r="BY38" s="42"/>
      <c r="BZ38" s="1">
        <f>'Cash Flow'!BY46</f>
        <v>0</v>
      </c>
      <c r="CA38" s="42"/>
      <c r="CB38" s="1">
        <f>'Cash Flow'!CA46</f>
        <v>0</v>
      </c>
      <c r="CC38" s="42"/>
      <c r="CD38" s="1">
        <f>'Cash Flow'!CC46</f>
        <v>0</v>
      </c>
      <c r="CE38" s="42"/>
      <c r="CF38" s="1">
        <f>'Cash Flow'!CE46</f>
        <v>0</v>
      </c>
      <c r="CG38" s="42"/>
      <c r="CH38" s="1">
        <f>'Cash Flow'!CG46</f>
        <v>0</v>
      </c>
      <c r="CI38" s="42"/>
      <c r="CJ38" s="1">
        <f>'Cash Flow'!CI46</f>
        <v>0</v>
      </c>
      <c r="CK38" s="42"/>
      <c r="CL38" s="1">
        <f>'Cash Flow'!CK46</f>
        <v>0</v>
      </c>
      <c r="CM38" s="42"/>
      <c r="CN38" s="1">
        <f>'Cash Flow'!CM46</f>
        <v>0</v>
      </c>
      <c r="CO38" s="42"/>
      <c r="CP38" s="1">
        <f>'Cash Flow'!CO46</f>
        <v>0</v>
      </c>
      <c r="CQ38" s="42"/>
      <c r="CR38" s="1">
        <f>'Cash Flow'!CQ46</f>
        <v>0</v>
      </c>
      <c r="CS38" s="42"/>
      <c r="CT38" s="1">
        <f>'Cash Flow'!CS46</f>
        <v>0</v>
      </c>
      <c r="CU38" s="42"/>
      <c r="CV38" s="1">
        <f>'Cash Flow'!CU46</f>
        <v>0</v>
      </c>
      <c r="CW38" s="42"/>
      <c r="CX38" s="1">
        <f>'Cash Flow'!CW46</f>
        <v>0</v>
      </c>
      <c r="CY38" s="42"/>
      <c r="CZ38" s="1">
        <f>'Cash Flow'!CY46</f>
        <v>0</v>
      </c>
      <c r="DA38" s="42"/>
      <c r="DB38" s="1">
        <f>'Cash Flow'!DA46</f>
        <v>0</v>
      </c>
      <c r="DC38" s="42"/>
      <c r="DD38" s="1">
        <f>'Cash Flow'!DC46</f>
        <v>0</v>
      </c>
      <c r="DE38" s="42"/>
      <c r="DF38" s="1">
        <f>'Cash Flow'!DE46</f>
        <v>0</v>
      </c>
      <c r="DG38" s="42"/>
    </row>
    <row r="39" spans="1:111" ht="12.75" customHeight="1">
      <c r="A39" s="2"/>
      <c r="B39" s="2"/>
      <c r="C39" s="2"/>
      <c r="D39" s="2"/>
      <c r="E39" s="2"/>
      <c r="J39" s="1"/>
      <c r="K39" s="42"/>
      <c r="L39" s="1"/>
      <c r="M39" s="42"/>
      <c r="N39" s="1"/>
      <c r="O39" s="42"/>
      <c r="P39" s="1"/>
      <c r="Q39" s="42"/>
      <c r="R39" s="1"/>
      <c r="S39" s="42"/>
      <c r="T39" s="1"/>
      <c r="U39" s="42"/>
      <c r="V39" s="1"/>
      <c r="W39" s="42"/>
      <c r="X39" s="1"/>
      <c r="Y39" s="42"/>
      <c r="Z39" s="1"/>
      <c r="AA39" s="42"/>
      <c r="AB39" s="1"/>
      <c r="AC39" s="42"/>
      <c r="AD39" s="1"/>
      <c r="AE39" s="42"/>
      <c r="AF39" s="1"/>
      <c r="AG39" s="42"/>
      <c r="AH39" s="1"/>
      <c r="AI39" s="42"/>
      <c r="AJ39" s="1"/>
      <c r="AK39" s="42"/>
      <c r="AL39" s="1"/>
      <c r="AM39" s="42"/>
      <c r="AN39" s="1"/>
      <c r="AO39" s="42"/>
      <c r="AP39" s="1"/>
      <c r="AQ39" s="42"/>
      <c r="AR39" s="1"/>
      <c r="AS39" s="42"/>
      <c r="AT39" s="1"/>
      <c r="AU39" s="42"/>
      <c r="AV39" s="1"/>
      <c r="AW39" s="42"/>
      <c r="AX39" s="1"/>
      <c r="AY39" s="42"/>
      <c r="AZ39" s="1"/>
      <c r="BA39" s="42"/>
      <c r="BB39" s="1"/>
      <c r="BC39" s="42"/>
      <c r="BD39" s="1"/>
      <c r="BE39" s="42"/>
      <c r="BF39" s="1"/>
      <c r="BG39" s="42"/>
      <c r="BH39" s="1"/>
      <c r="BI39" s="42"/>
      <c r="BJ39" s="1"/>
      <c r="BK39" s="42"/>
      <c r="BL39" s="1"/>
      <c r="BM39" s="42"/>
      <c r="BN39" s="1"/>
      <c r="BO39" s="42"/>
      <c r="BP39" s="1"/>
      <c r="BQ39" s="42"/>
      <c r="BR39" s="1"/>
      <c r="BS39" s="42"/>
      <c r="BT39" s="1"/>
      <c r="BU39" s="42"/>
      <c r="BV39" s="1"/>
      <c r="BW39" s="42"/>
      <c r="BX39" s="1"/>
      <c r="BY39" s="42"/>
      <c r="BZ39" s="1"/>
      <c r="CA39" s="42"/>
      <c r="CB39" s="1"/>
      <c r="CC39" s="42"/>
      <c r="CD39" s="1"/>
      <c r="CE39" s="42"/>
      <c r="CF39" s="1"/>
      <c r="CG39" s="42"/>
      <c r="CH39" s="1"/>
      <c r="CI39" s="42"/>
      <c r="CJ39" s="1"/>
      <c r="CK39" s="42"/>
      <c r="CL39" s="1"/>
      <c r="CM39" s="42"/>
      <c r="CN39" s="1"/>
      <c r="CO39" s="42"/>
      <c r="CP39" s="1"/>
      <c r="CQ39" s="42"/>
      <c r="CR39" s="1"/>
      <c r="CS39" s="42"/>
      <c r="CT39" s="1"/>
      <c r="CU39" s="42"/>
      <c r="CV39" s="1"/>
      <c r="CW39" s="42"/>
      <c r="CX39" s="1"/>
      <c r="CY39" s="42"/>
      <c r="CZ39" s="1"/>
      <c r="DA39" s="42"/>
      <c r="DB39" s="1"/>
      <c r="DC39" s="42"/>
      <c r="DD39" s="1"/>
      <c r="DE39" s="42"/>
      <c r="DF39" s="1"/>
      <c r="DG39" s="42"/>
    </row>
    <row r="40" spans="1:111" ht="12.75" customHeight="1">
      <c r="A40" s="2"/>
      <c r="B40" s="2"/>
      <c r="C40" s="2" t="s">
        <v>75</v>
      </c>
      <c r="D40" s="2"/>
      <c r="E40" s="2"/>
      <c r="J40" s="1"/>
      <c r="K40" s="42"/>
      <c r="L40" s="1"/>
      <c r="M40" s="42"/>
      <c r="N40" s="1"/>
      <c r="O40" s="42"/>
      <c r="P40" s="1"/>
      <c r="Q40" s="42"/>
      <c r="R40" s="1"/>
      <c r="S40" s="42"/>
      <c r="T40" s="1"/>
      <c r="U40" s="42"/>
      <c r="V40" s="1"/>
      <c r="W40" s="42"/>
      <c r="X40" s="1"/>
      <c r="Y40" s="42"/>
      <c r="Z40" s="1"/>
      <c r="AA40" s="42"/>
      <c r="AB40" s="1"/>
      <c r="AC40" s="42"/>
      <c r="AD40" s="1"/>
      <c r="AE40" s="42"/>
      <c r="AF40" s="1"/>
      <c r="AG40" s="42"/>
      <c r="AH40" s="1"/>
      <c r="AI40" s="42"/>
      <c r="AJ40" s="1"/>
      <c r="AK40" s="42"/>
      <c r="AL40" s="1"/>
      <c r="AM40" s="42"/>
      <c r="AN40" s="1"/>
      <c r="AO40" s="42"/>
      <c r="AP40" s="1"/>
      <c r="AQ40" s="42"/>
      <c r="AR40" s="1"/>
      <c r="AS40" s="42"/>
      <c r="AT40" s="1"/>
      <c r="AU40" s="42"/>
      <c r="AV40" s="1"/>
      <c r="AW40" s="42"/>
      <c r="AX40" s="1"/>
      <c r="AY40" s="42"/>
      <c r="AZ40" s="1"/>
      <c r="BA40" s="42"/>
      <c r="BB40" s="1"/>
      <c r="BC40" s="42"/>
      <c r="BD40" s="1"/>
      <c r="BE40" s="42"/>
      <c r="BF40" s="1"/>
      <c r="BG40" s="42"/>
      <c r="BH40" s="1"/>
      <c r="BI40" s="42"/>
      <c r="BJ40" s="1"/>
      <c r="BK40" s="42"/>
      <c r="BL40" s="1"/>
      <c r="BM40" s="42"/>
      <c r="BN40" s="1"/>
      <c r="BO40" s="42"/>
      <c r="BP40" s="1"/>
      <c r="BQ40" s="42"/>
      <c r="BR40" s="1"/>
      <c r="BS40" s="42"/>
      <c r="BT40" s="1"/>
      <c r="BU40" s="42"/>
      <c r="BV40" s="1"/>
      <c r="BW40" s="42"/>
      <c r="BX40" s="1"/>
      <c r="BY40" s="42"/>
      <c r="BZ40" s="1"/>
      <c r="CA40" s="42"/>
      <c r="CB40" s="1"/>
      <c r="CC40" s="42"/>
      <c r="CD40" s="1"/>
      <c r="CE40" s="42"/>
      <c r="CF40" s="1"/>
      <c r="CG40" s="42"/>
      <c r="CH40" s="1"/>
      <c r="CI40" s="42"/>
      <c r="CJ40" s="1"/>
      <c r="CK40" s="42"/>
      <c r="CL40" s="1"/>
      <c r="CM40" s="42"/>
      <c r="CN40" s="1"/>
      <c r="CO40" s="42"/>
      <c r="CP40" s="1"/>
      <c r="CQ40" s="42"/>
      <c r="CR40" s="1"/>
      <c r="CS40" s="42"/>
      <c r="CT40" s="1"/>
      <c r="CU40" s="42"/>
      <c r="CV40" s="1"/>
      <c r="CW40" s="42"/>
      <c r="CX40" s="1"/>
      <c r="CY40" s="42"/>
      <c r="CZ40" s="1"/>
      <c r="DA40" s="42"/>
      <c r="DB40" s="1"/>
      <c r="DC40" s="42"/>
      <c r="DD40" s="1"/>
      <c r="DE40" s="42"/>
      <c r="DF40" s="1"/>
      <c r="DG40" s="42"/>
    </row>
    <row r="41" spans="1:111" ht="12.75" customHeight="1">
      <c r="A41" s="2"/>
      <c r="B41" s="2"/>
      <c r="C41" s="2"/>
      <c r="D41" s="2" t="s">
        <v>76</v>
      </c>
      <c r="E41" s="2"/>
      <c r="J41" s="1">
        <f>'Cash Flow'!I47</f>
        <v>5239915.254237289</v>
      </c>
      <c r="K41" s="42"/>
      <c r="L41" s="1">
        <f>'Cash Flow'!K47</f>
        <v>5239915.254237289</v>
      </c>
      <c r="M41" s="42"/>
      <c r="N41" s="1">
        <f>'Cash Flow'!M47</f>
        <v>5239915.254237289</v>
      </c>
      <c r="O41" s="42"/>
      <c r="P41" s="1">
        <f>'Cash Flow'!O47</f>
        <v>5239915.254237289</v>
      </c>
      <c r="Q41" s="42"/>
      <c r="R41" s="1">
        <f>'Cash Flow'!Q47</f>
        <v>5239915.254237289</v>
      </c>
      <c r="S41" s="42"/>
      <c r="T41" s="1">
        <f>'Cash Flow'!S47</f>
        <v>5239915.254237289</v>
      </c>
      <c r="U41" s="42"/>
      <c r="V41" s="1">
        <f>'Cash Flow'!U47</f>
        <v>5239915.254237289</v>
      </c>
      <c r="W41" s="42"/>
      <c r="X41" s="1">
        <f>'Cash Flow'!W47</f>
        <v>5239915.254237289</v>
      </c>
      <c r="Y41" s="42"/>
      <c r="Z41" s="1">
        <f>'Cash Flow'!Y47</f>
        <v>5239915.254237289</v>
      </c>
      <c r="AA41" s="42"/>
      <c r="AB41" s="1">
        <f>'Cash Flow'!AA47</f>
        <v>5239915.254237289</v>
      </c>
      <c r="AC41" s="42"/>
      <c r="AD41" s="1">
        <f>'Cash Flow'!AC47</f>
        <v>5239915.254237289</v>
      </c>
      <c r="AE41" s="42"/>
      <c r="AF41" s="1">
        <f>'Cash Flow'!AE47</f>
        <v>5239915.254237289</v>
      </c>
      <c r="AG41" s="42"/>
      <c r="AH41" s="1">
        <f>'Cash Flow'!AG47</f>
        <v>5239915.254237289</v>
      </c>
      <c r="AI41" s="42"/>
      <c r="AJ41" s="1">
        <f>'Cash Flow'!AI47</f>
        <v>5239915.254237289</v>
      </c>
      <c r="AK41" s="42"/>
      <c r="AL41" s="1">
        <f>'Cash Flow'!AK47</f>
        <v>5239915.254237289</v>
      </c>
      <c r="AM41" s="42"/>
      <c r="AN41" s="1">
        <f>'Cash Flow'!AM47</f>
        <v>5239915.254237289</v>
      </c>
      <c r="AO41" s="42"/>
      <c r="AP41" s="1">
        <f>'Cash Flow'!AO47</f>
        <v>5239915.254237289</v>
      </c>
      <c r="AQ41" s="42"/>
      <c r="AR41" s="1">
        <f>'Cash Flow'!AQ47</f>
        <v>5239915.254237289</v>
      </c>
      <c r="AS41" s="42"/>
      <c r="AT41" s="1">
        <f>'Cash Flow'!AS47</f>
        <v>5239915.254237289</v>
      </c>
      <c r="AU41" s="42"/>
      <c r="AV41" s="1">
        <f>'Cash Flow'!AU47</f>
        <v>5239915.254237289</v>
      </c>
      <c r="AW41" s="42"/>
      <c r="AX41" s="1">
        <f>'Cash Flow'!AW47</f>
        <v>5239915.254237289</v>
      </c>
      <c r="AY41" s="42"/>
      <c r="AZ41" s="1">
        <f>'Cash Flow'!AY47</f>
        <v>5239915.254237289</v>
      </c>
      <c r="BA41" s="42"/>
      <c r="BB41" s="1">
        <f>'Cash Flow'!BA47</f>
        <v>5239915.254237289</v>
      </c>
      <c r="BC41" s="42"/>
      <c r="BD41" s="1">
        <f>'Cash Flow'!BC47</f>
        <v>5239915.254237289</v>
      </c>
      <c r="BE41" s="42"/>
      <c r="BF41" s="1">
        <f>'Cash Flow'!BE47</f>
        <v>5239915.254237289</v>
      </c>
      <c r="BG41" s="42"/>
      <c r="BH41" s="1">
        <f>'Cash Flow'!BG47</f>
        <v>5239915.254237289</v>
      </c>
      <c r="BI41" s="42"/>
      <c r="BJ41" s="1">
        <f>'Cash Flow'!BI47</f>
        <v>0</v>
      </c>
      <c r="BK41" s="42"/>
      <c r="BL41" s="1">
        <f>'Cash Flow'!BK47</f>
        <v>0</v>
      </c>
      <c r="BM41" s="42"/>
      <c r="BN41" s="1">
        <f>'Cash Flow'!BM47</f>
        <v>0</v>
      </c>
      <c r="BO41" s="42"/>
      <c r="BP41" s="1">
        <f>'Cash Flow'!BO47</f>
        <v>0</v>
      </c>
      <c r="BQ41" s="42"/>
      <c r="BR41" s="1">
        <f>'Cash Flow'!BQ47</f>
        <v>0</v>
      </c>
      <c r="BS41" s="42"/>
      <c r="BT41" s="1">
        <f>'Cash Flow'!BS47</f>
        <v>0</v>
      </c>
      <c r="BU41" s="42"/>
      <c r="BV41" s="1">
        <f>'Cash Flow'!BU47</f>
        <v>0</v>
      </c>
      <c r="BW41" s="42"/>
      <c r="BX41" s="1">
        <f>'Cash Flow'!BW47</f>
        <v>0</v>
      </c>
      <c r="BY41" s="42"/>
      <c r="BZ41" s="1">
        <f>'Cash Flow'!BY47</f>
        <v>0</v>
      </c>
      <c r="CA41" s="42"/>
      <c r="CB41" s="1">
        <f>'Cash Flow'!CA47</f>
        <v>0</v>
      </c>
      <c r="CC41" s="42"/>
      <c r="CD41" s="1">
        <f>'Cash Flow'!CC47</f>
        <v>0</v>
      </c>
      <c r="CE41" s="42"/>
      <c r="CF41" s="1">
        <f>'Cash Flow'!CE47</f>
        <v>0</v>
      </c>
      <c r="CG41" s="42"/>
      <c r="CH41" s="1">
        <f>'Cash Flow'!CG47</f>
        <v>0</v>
      </c>
      <c r="CI41" s="42"/>
      <c r="CJ41" s="1">
        <f>'Cash Flow'!CI47</f>
        <v>0</v>
      </c>
      <c r="CK41" s="42"/>
      <c r="CL41" s="1">
        <f>'Cash Flow'!CK47</f>
        <v>0</v>
      </c>
      <c r="CM41" s="42"/>
      <c r="CN41" s="1">
        <f>'Cash Flow'!CM47</f>
        <v>0</v>
      </c>
      <c r="CO41" s="42"/>
      <c r="CP41" s="1">
        <f>'Cash Flow'!CO47</f>
        <v>0</v>
      </c>
      <c r="CQ41" s="42"/>
      <c r="CR41" s="1">
        <f>'Cash Flow'!CQ47</f>
        <v>0</v>
      </c>
      <c r="CS41" s="42"/>
      <c r="CT41" s="1">
        <f>'Cash Flow'!CS47</f>
        <v>0</v>
      </c>
      <c r="CU41" s="42"/>
      <c r="CV41" s="1">
        <f>'Cash Flow'!CU47</f>
        <v>0</v>
      </c>
      <c r="CW41" s="42"/>
      <c r="CX41" s="1">
        <f>'Cash Flow'!CW47</f>
        <v>0</v>
      </c>
      <c r="CY41" s="42"/>
      <c r="CZ41" s="1">
        <f>'Cash Flow'!CY47</f>
        <v>0</v>
      </c>
      <c r="DA41" s="42"/>
      <c r="DB41" s="1">
        <f>'Cash Flow'!DA47</f>
        <v>0</v>
      </c>
      <c r="DC41" s="42"/>
      <c r="DD41" s="1">
        <f>'Cash Flow'!DC47</f>
        <v>0</v>
      </c>
      <c r="DE41" s="42"/>
      <c r="DF41" s="1">
        <f>'Cash Flow'!DE47</f>
        <v>0</v>
      </c>
      <c r="DG41" s="42"/>
    </row>
    <row r="42" spans="1:111" ht="12.75" customHeight="1">
      <c r="A42" s="2"/>
      <c r="B42" s="2"/>
      <c r="C42" s="2"/>
      <c r="D42" s="2" t="s">
        <v>86</v>
      </c>
      <c r="E42" s="2"/>
      <c r="J42" s="1">
        <f>'Cash Flow'!I48</f>
        <v>0</v>
      </c>
      <c r="K42" s="42"/>
      <c r="L42" s="1">
        <f>'Cash Flow'!K48</f>
        <v>-261995.76271186443</v>
      </c>
      <c r="M42" s="42"/>
      <c r="N42" s="1">
        <f>'Cash Flow'!M48</f>
        <v>-523991.52542372886</v>
      </c>
      <c r="O42" s="42"/>
      <c r="P42" s="1">
        <f>'Cash Flow'!O48</f>
        <v>-785987.2881355933</v>
      </c>
      <c r="Q42" s="42"/>
      <c r="R42" s="1">
        <f>'Cash Flow'!Q48</f>
        <v>-1047983.0508474577</v>
      </c>
      <c r="S42" s="42"/>
      <c r="T42" s="1">
        <f>'Cash Flow'!S48</f>
        <v>-1309978.8135593222</v>
      </c>
      <c r="U42" s="42"/>
      <c r="V42" s="1">
        <f>'Cash Flow'!U48</f>
        <v>-1571974.5762711866</v>
      </c>
      <c r="W42" s="42"/>
      <c r="X42" s="1">
        <f>'Cash Flow'!W48</f>
        <v>-1833970.338983051</v>
      </c>
      <c r="Y42" s="42"/>
      <c r="Z42" s="1">
        <f>'Cash Flow'!Y48</f>
        <v>-2095966.1016949154</v>
      </c>
      <c r="AA42" s="42"/>
      <c r="AB42" s="1">
        <f>'Cash Flow'!AA48</f>
        <v>-2357961.86440678</v>
      </c>
      <c r="AC42" s="42"/>
      <c r="AD42" s="1">
        <f>'Cash Flow'!AC48</f>
        <v>-2619957.6271186443</v>
      </c>
      <c r="AE42" s="42"/>
      <c r="AF42" s="1">
        <f>'Cash Flow'!AE48</f>
        <v>-2881953.3898305087</v>
      </c>
      <c r="AG42" s="42"/>
      <c r="AH42" s="1">
        <f>'Cash Flow'!AG48</f>
        <v>-3143949.152542373</v>
      </c>
      <c r="AI42" s="42"/>
      <c r="AJ42" s="1">
        <f>'Cash Flow'!AI48</f>
        <v>-3405944.9152542376</v>
      </c>
      <c r="AK42" s="42"/>
      <c r="AL42" s="1">
        <f>'Cash Flow'!AK48</f>
        <v>-3667940.677966102</v>
      </c>
      <c r="AM42" s="42"/>
      <c r="AN42" s="1">
        <f>'Cash Flow'!AM48</f>
        <v>-3929936.4406779665</v>
      </c>
      <c r="AO42" s="42"/>
      <c r="AP42" s="1">
        <f>'Cash Flow'!AO48</f>
        <v>-4191932.203389831</v>
      </c>
      <c r="AQ42" s="42"/>
      <c r="AR42" s="1">
        <f>'Cash Flow'!AQ48</f>
        <v>-4453927.966101695</v>
      </c>
      <c r="AS42" s="42"/>
      <c r="AT42" s="1">
        <f>'Cash Flow'!AS48</f>
        <v>-4715923.72881356</v>
      </c>
      <c r="AU42" s="42"/>
      <c r="AV42" s="1">
        <f>'Cash Flow'!AU48</f>
        <v>-4977919.491525425</v>
      </c>
      <c r="AW42" s="42"/>
      <c r="AX42" s="1">
        <f>'Cash Flow'!AW48</f>
        <v>-5239915.254237289</v>
      </c>
      <c r="AY42" s="42"/>
      <c r="AZ42" s="1">
        <f>'Cash Flow'!AY48</f>
        <v>-5239915.254237289</v>
      </c>
      <c r="BA42" s="42"/>
      <c r="BB42" s="1">
        <f>'Cash Flow'!BA48</f>
        <v>-5239915.254237289</v>
      </c>
      <c r="BC42" s="42"/>
      <c r="BD42" s="1">
        <f>'Cash Flow'!BC48</f>
        <v>-5239915.254237289</v>
      </c>
      <c r="BE42" s="42"/>
      <c r="BF42" s="1">
        <f>'Cash Flow'!BE48</f>
        <v>-5239915.254237289</v>
      </c>
      <c r="BG42" s="42"/>
      <c r="BH42" s="1">
        <f>'Cash Flow'!BG48</f>
        <v>-5239915.254237289</v>
      </c>
      <c r="BI42" s="42"/>
      <c r="BJ42" s="1">
        <f>'Cash Flow'!BI48</f>
        <v>0</v>
      </c>
      <c r="BK42" s="42"/>
      <c r="BL42" s="1">
        <f>'Cash Flow'!BK48</f>
        <v>0</v>
      </c>
      <c r="BM42" s="42"/>
      <c r="BN42" s="1">
        <f>'Cash Flow'!BM48</f>
        <v>0</v>
      </c>
      <c r="BO42" s="42"/>
      <c r="BP42" s="1">
        <f>'Cash Flow'!BO48</f>
        <v>0</v>
      </c>
      <c r="BQ42" s="42"/>
      <c r="BR42" s="1">
        <f>'Cash Flow'!BQ48</f>
        <v>0</v>
      </c>
      <c r="BS42" s="42"/>
      <c r="BT42" s="1">
        <f>'Cash Flow'!BS48</f>
        <v>0</v>
      </c>
      <c r="BU42" s="42"/>
      <c r="BV42" s="1">
        <f>'Cash Flow'!BU48</f>
        <v>0</v>
      </c>
      <c r="BW42" s="42"/>
      <c r="BX42" s="1">
        <f>'Cash Flow'!BW48</f>
        <v>0</v>
      </c>
      <c r="BY42" s="42"/>
      <c r="BZ42" s="1">
        <f>'Cash Flow'!BY48</f>
        <v>0</v>
      </c>
      <c r="CA42" s="42"/>
      <c r="CB42" s="1">
        <f>'Cash Flow'!CA48</f>
        <v>0</v>
      </c>
      <c r="CC42" s="42"/>
      <c r="CD42" s="1">
        <f>'Cash Flow'!CC48</f>
        <v>0</v>
      </c>
      <c r="CE42" s="42"/>
      <c r="CF42" s="1">
        <f>'Cash Flow'!CE48</f>
        <v>0</v>
      </c>
      <c r="CG42" s="42"/>
      <c r="CH42" s="1">
        <f>'Cash Flow'!CG48</f>
        <v>0</v>
      </c>
      <c r="CI42" s="42"/>
      <c r="CJ42" s="1">
        <f>'Cash Flow'!CI48</f>
        <v>0</v>
      </c>
      <c r="CK42" s="42"/>
      <c r="CL42" s="1">
        <f>'Cash Flow'!CK48</f>
        <v>0</v>
      </c>
      <c r="CM42" s="42"/>
      <c r="CN42" s="1">
        <f>'Cash Flow'!CM48</f>
        <v>0</v>
      </c>
      <c r="CO42" s="42"/>
      <c r="CP42" s="1">
        <f>'Cash Flow'!CO48</f>
        <v>0</v>
      </c>
      <c r="CQ42" s="42"/>
      <c r="CR42" s="1">
        <f>'Cash Flow'!CQ48</f>
        <v>0</v>
      </c>
      <c r="CS42" s="42"/>
      <c r="CT42" s="1">
        <f>'Cash Flow'!CS48</f>
        <v>0</v>
      </c>
      <c r="CU42" s="42"/>
      <c r="CV42" s="1">
        <f>'Cash Flow'!CU48</f>
        <v>0</v>
      </c>
      <c r="CW42" s="42"/>
      <c r="CX42" s="1">
        <f>'Cash Flow'!CW48</f>
        <v>0</v>
      </c>
      <c r="CY42" s="42"/>
      <c r="CZ42" s="1">
        <f>'Cash Flow'!CY48</f>
        <v>0</v>
      </c>
      <c r="DA42" s="42"/>
      <c r="DB42" s="1">
        <f>'Cash Flow'!DA48</f>
        <v>0</v>
      </c>
      <c r="DC42" s="42"/>
      <c r="DD42" s="1">
        <f>'Cash Flow'!DC48</f>
        <v>0</v>
      </c>
      <c r="DE42" s="42"/>
      <c r="DF42" s="1">
        <f>'Cash Flow'!DE48</f>
        <v>0</v>
      </c>
      <c r="DG42" s="42"/>
    </row>
    <row r="43" spans="1:111" ht="12.75" customHeight="1" thickBot="1">
      <c r="A43" s="2"/>
      <c r="B43" s="2"/>
      <c r="C43" s="2"/>
      <c r="D43" s="2"/>
      <c r="E43" s="2"/>
      <c r="J43" s="1"/>
      <c r="K43" s="43"/>
      <c r="L43" s="1"/>
      <c r="M43" s="43"/>
      <c r="N43" s="1"/>
      <c r="O43" s="43"/>
      <c r="P43" s="1"/>
      <c r="Q43" s="43"/>
      <c r="R43" s="1"/>
      <c r="S43" s="43"/>
      <c r="T43" s="1"/>
      <c r="U43" s="43"/>
      <c r="V43" s="1"/>
      <c r="W43" s="43"/>
      <c r="X43" s="1"/>
      <c r="Y43" s="43"/>
      <c r="Z43" s="1"/>
      <c r="AA43" s="43"/>
      <c r="AB43" s="1"/>
      <c r="AC43" s="43"/>
      <c r="AD43" s="1"/>
      <c r="AE43" s="43"/>
      <c r="AF43" s="1"/>
      <c r="AG43" s="43"/>
      <c r="AH43" s="1"/>
      <c r="AI43" s="43"/>
      <c r="AJ43" s="1"/>
      <c r="AK43" s="43"/>
      <c r="AL43" s="1"/>
      <c r="AM43" s="43"/>
      <c r="AN43" s="1"/>
      <c r="AO43" s="43"/>
      <c r="AP43" s="1"/>
      <c r="AQ43" s="43"/>
      <c r="AR43" s="1"/>
      <c r="AS43" s="43"/>
      <c r="AT43" s="1"/>
      <c r="AU43" s="43"/>
      <c r="AV43" s="1"/>
      <c r="AW43" s="43"/>
      <c r="AX43" s="1"/>
      <c r="AY43" s="43"/>
      <c r="AZ43" s="1"/>
      <c r="BA43" s="43"/>
      <c r="BB43" s="1"/>
      <c r="BC43" s="43"/>
      <c r="BD43" s="1"/>
      <c r="BE43" s="43"/>
      <c r="BF43" s="1"/>
      <c r="BG43" s="43"/>
      <c r="BH43" s="1"/>
      <c r="BI43" s="43"/>
      <c r="BJ43" s="1"/>
      <c r="BK43" s="43"/>
      <c r="BL43" s="1"/>
      <c r="BM43" s="43"/>
      <c r="BN43" s="1"/>
      <c r="BO43" s="43"/>
      <c r="BP43" s="1"/>
      <c r="BQ43" s="43"/>
      <c r="BR43" s="1"/>
      <c r="BS43" s="43"/>
      <c r="BT43" s="1"/>
      <c r="BU43" s="43"/>
      <c r="BV43" s="1"/>
      <c r="BW43" s="43"/>
      <c r="BX43" s="1"/>
      <c r="BY43" s="43"/>
      <c r="BZ43" s="1"/>
      <c r="CA43" s="43"/>
      <c r="CB43" s="1"/>
      <c r="CC43" s="43"/>
      <c r="CD43" s="1"/>
      <c r="CE43" s="43"/>
      <c r="CF43" s="1"/>
      <c r="CG43" s="43"/>
      <c r="CH43" s="1"/>
      <c r="CI43" s="43"/>
      <c r="CJ43" s="1"/>
      <c r="CK43" s="43"/>
      <c r="CL43" s="1"/>
      <c r="CM43" s="43"/>
      <c r="CN43" s="1"/>
      <c r="CO43" s="43"/>
      <c r="CP43" s="1"/>
      <c r="CQ43" s="43"/>
      <c r="CR43" s="1"/>
      <c r="CS43" s="43"/>
      <c r="CT43" s="1"/>
      <c r="CU43" s="43"/>
      <c r="CV43" s="1"/>
      <c r="CW43" s="43"/>
      <c r="CX43" s="1"/>
      <c r="CY43" s="43"/>
      <c r="CZ43" s="1"/>
      <c r="DA43" s="43"/>
      <c r="DB43" s="1"/>
      <c r="DC43" s="43"/>
      <c r="DD43" s="1"/>
      <c r="DE43" s="43"/>
      <c r="DF43" s="1"/>
      <c r="DG43" s="43"/>
    </row>
    <row r="44" spans="1:111" ht="12.75" customHeight="1">
      <c r="A44" s="2"/>
      <c r="B44" s="2"/>
      <c r="C44" s="12" t="s">
        <v>63</v>
      </c>
      <c r="D44" s="8"/>
      <c r="E44" s="8"/>
      <c r="J44" s="61">
        <f>J35+J37+J38+J41+J42</f>
        <v>90569915.2542373</v>
      </c>
      <c r="K44" s="2"/>
      <c r="L44" s="61">
        <f>L35+L37+L38+L41+L42</f>
        <v>93498181.73835726</v>
      </c>
      <c r="M44" s="2"/>
      <c r="N44" s="61">
        <f>N35+N37+N38+N41+N42</f>
        <v>98411955.94741385</v>
      </c>
      <c r="O44" s="2"/>
      <c r="P44" s="61">
        <f>P35+P37+P38+P41+P42</f>
        <v>104499759.45990583</v>
      </c>
      <c r="Q44" s="2"/>
      <c r="R44" s="61">
        <f>R35+R37+R38+R41+R42</f>
        <v>110907805.61774187</v>
      </c>
      <c r="S44" s="2"/>
      <c r="T44" s="61">
        <f>T35+T37+T38+T41+T42</f>
        <v>117642904.68954727</v>
      </c>
      <c r="U44" s="2"/>
      <c r="V44" s="61">
        <f>V35+V37+V38+V41+V42</f>
        <v>124711993.52845941</v>
      </c>
      <c r="W44" s="2"/>
      <c r="X44" s="61">
        <f>X35+X37+X38+X41+X42</f>
        <v>132122137.73410903</v>
      </c>
      <c r="Y44" s="2"/>
      <c r="Z44" s="61">
        <f>Z35+Z37+Z38+Z41+Z42</f>
        <v>139625760.53549784</v>
      </c>
      <c r="AA44" s="2"/>
      <c r="AB44" s="61">
        <f>AB35+AB37+AB38+AB41+AB42</f>
        <v>142116600.1740584</v>
      </c>
      <c r="AC44" s="2"/>
      <c r="AD44" s="61">
        <f>AD35+AD37+AD38+AD41+AD42</f>
        <v>144705311.99465352</v>
      </c>
      <c r="AE44" s="2"/>
      <c r="AF44" s="61">
        <f>AF35+AF37+AF38+AF41+AF42</f>
        <v>147388552.59808946</v>
      </c>
      <c r="AG44" s="2"/>
      <c r="AH44" s="61">
        <f>AH35+AH37+AH38+AH41+AH42</f>
        <v>150162506.20231375</v>
      </c>
      <c r="AI44" s="2"/>
      <c r="AJ44" s="61">
        <f>AJ35+AJ37+AJ38+AJ41+AJ42</f>
        <v>153022840.4605053</v>
      </c>
      <c r="AK44" s="2"/>
      <c r="AL44" s="61">
        <f>AL35+AL37+AL38+AL41+AL42</f>
        <v>155964658.2996215</v>
      </c>
      <c r="AM44" s="2"/>
      <c r="AN44" s="61">
        <f>AN35+AN37+AN38+AN41+AN42</f>
        <v>158982445.42163384</v>
      </c>
      <c r="AO44" s="2"/>
      <c r="AP44" s="61">
        <f>AP35+AP37+AP38+AP41+AP42</f>
        <v>162070013.0774964</v>
      </c>
      <c r="AQ44" s="2"/>
      <c r="AR44" s="61">
        <f>AR35+AR37+AR38+AR41+AR42</f>
        <v>165220435.6888104</v>
      </c>
      <c r="AS44" s="2"/>
      <c r="AT44" s="61">
        <f>AT35+AT37+AT38+AT41+AT42</f>
        <v>168425982.8539112</v>
      </c>
      <c r="AU44" s="2"/>
      <c r="AV44" s="61">
        <f>AV35+AV37+AV38+AV41+AV42</f>
        <v>171678045.23342225</v>
      </c>
      <c r="AW44" s="2"/>
      <c r="AX44" s="61">
        <f>AX35+AX37+AX38+AX41+AX42</f>
        <v>174967053.76489252</v>
      </c>
      <c r="AY44" s="2"/>
      <c r="AZ44" s="61">
        <f>AZ35+AZ37+AZ38+AZ41+AZ42</f>
        <v>186860989.12249386</v>
      </c>
      <c r="BA44" s="2"/>
      <c r="BB44" s="61">
        <f>BB35+BB37+BB38+BB41+BB42</f>
        <v>198966298.0726515</v>
      </c>
      <c r="BC44" s="2"/>
      <c r="BD44" s="61">
        <f>BD35+BD37+BD38+BD41+BD42</f>
        <v>211285617.62338173</v>
      </c>
      <c r="BE44" s="2"/>
      <c r="BF44" s="61">
        <f>BF35+BF37+BF38+BF41+BF42</f>
        <v>223821605.7132702</v>
      </c>
      <c r="BG44" s="2"/>
      <c r="BH44" s="61">
        <f>BH35+BH37+BH38+BH41+BH42</f>
        <v>236576941.12112862</v>
      </c>
      <c r="BI44" s="2"/>
      <c r="BJ44" s="61">
        <f>BJ35+BJ37+BJ38+BJ41+BJ42</f>
        <v>0</v>
      </c>
      <c r="BK44" s="2"/>
      <c r="BL44" s="61">
        <f>BL35+BL37+BL38+BL41+BL42</f>
        <v>0</v>
      </c>
      <c r="BM44" s="2"/>
      <c r="BN44" s="61">
        <f>BN35+BN37+BN38+BN41+BN42</f>
        <v>0</v>
      </c>
      <c r="BO44" s="2"/>
      <c r="BP44" s="61">
        <f>BP35+BP37+BP38+BP41+BP42</f>
        <v>0</v>
      </c>
      <c r="BQ44" s="2"/>
      <c r="BR44" s="61">
        <f>BR35+BR37+BR38+BR41+BR42</f>
        <v>0</v>
      </c>
      <c r="BS44" s="2"/>
      <c r="BT44" s="61">
        <f>BT35+BT37+BT38+BT41+BT42</f>
        <v>0</v>
      </c>
      <c r="BU44" s="2"/>
      <c r="BV44" s="61">
        <f>BV35+BV37+BV38+BV41+BV42</f>
        <v>0</v>
      </c>
      <c r="BW44" s="2"/>
      <c r="BX44" s="61">
        <f>BX35+BX37+BX38+BX41+BX42</f>
        <v>0</v>
      </c>
      <c r="BY44" s="2"/>
      <c r="BZ44" s="61">
        <f>BZ35+BZ37+BZ38+BZ41+BZ42</f>
        <v>0</v>
      </c>
      <c r="CA44" s="2"/>
      <c r="CB44" s="61">
        <f>CB35+CB37+CB38+CB41+CB42</f>
        <v>0</v>
      </c>
      <c r="CC44" s="2"/>
      <c r="CD44" s="61">
        <f>CD35+CD37+CD38+CD41+CD42</f>
        <v>0</v>
      </c>
      <c r="CE44" s="2"/>
      <c r="CF44" s="61">
        <f>CF35+CF37+CF38+CF41+CF42</f>
        <v>0</v>
      </c>
      <c r="CG44" s="2"/>
      <c r="CH44" s="61">
        <f>CH35+CH37+CH38+CH41+CH42</f>
        <v>0</v>
      </c>
      <c r="CI44" s="2"/>
      <c r="CJ44" s="61">
        <f>CJ35+CJ37+CJ38+CJ41+CJ42</f>
        <v>0</v>
      </c>
      <c r="CK44" s="2"/>
      <c r="CL44" s="61">
        <f>CL35+CL37+CL38+CL41+CL42</f>
        <v>0</v>
      </c>
      <c r="CM44" s="2"/>
      <c r="CN44" s="61">
        <f>CN35+CN37+CN38+CN41+CN42</f>
        <v>0</v>
      </c>
      <c r="CO44" s="2"/>
      <c r="CP44" s="61">
        <f>CP35+CP37+CP38+CP41+CP42</f>
        <v>0</v>
      </c>
      <c r="CQ44" s="2"/>
      <c r="CR44" s="61">
        <f>CR35+CR37+CR38+CR41+CR42</f>
        <v>0</v>
      </c>
      <c r="CS44" s="2"/>
      <c r="CT44" s="61">
        <f>CT35+CT37+CT38+CT41+CT42</f>
        <v>0</v>
      </c>
      <c r="CU44" s="2"/>
      <c r="CV44" s="61">
        <f>CV35+CV37+CV38+CV41+CV42</f>
        <v>0</v>
      </c>
      <c r="CW44" s="2"/>
      <c r="CX44" s="61">
        <f>CX35+CX37+CX38+CX41+CX42</f>
        <v>0</v>
      </c>
      <c r="CY44" s="2"/>
      <c r="CZ44" s="61">
        <f>CZ35+CZ37+CZ38+CZ41+CZ42</f>
        <v>0</v>
      </c>
      <c r="DA44" s="2"/>
      <c r="DB44" s="61">
        <f>DB35+DB37+DB38+DB41+DB42</f>
        <v>0</v>
      </c>
      <c r="DC44" s="2"/>
      <c r="DD44" s="61">
        <f>DD35+DD37+DD38+DD41+DD42</f>
        <v>0</v>
      </c>
      <c r="DE44" s="2"/>
      <c r="DF44" s="61">
        <f>DF35+DF37+DF38+DF41+DF42</f>
        <v>0</v>
      </c>
      <c r="DG44" s="2"/>
    </row>
    <row r="45" spans="1:111" ht="12.75" customHeight="1">
      <c r="A45" s="2"/>
      <c r="B45" s="2"/>
      <c r="C45" s="2"/>
      <c r="D45" s="2"/>
      <c r="E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2"/>
      <c r="AZ45" s="1"/>
      <c r="BA45" s="2"/>
      <c r="BB45" s="1"/>
      <c r="BC45" s="2"/>
      <c r="BD45" s="1"/>
      <c r="BE45" s="2"/>
      <c r="BF45" s="1"/>
      <c r="BG45" s="2"/>
      <c r="BH45" s="1"/>
      <c r="BI45" s="2"/>
      <c r="BJ45" s="1"/>
      <c r="BK45" s="2"/>
      <c r="BL45" s="1"/>
      <c r="BM45" s="2"/>
      <c r="BN45" s="1"/>
      <c r="BO45" s="2"/>
      <c r="BP45" s="1"/>
      <c r="BQ45" s="2"/>
      <c r="BR45" s="1"/>
      <c r="BS45" s="2"/>
      <c r="BT45" s="1"/>
      <c r="BU45" s="2"/>
      <c r="BV45" s="1"/>
      <c r="BW45" s="2"/>
      <c r="BX45" s="1"/>
      <c r="BY45" s="2"/>
      <c r="BZ45" s="1"/>
      <c r="CA45" s="2"/>
      <c r="CB45" s="1"/>
      <c r="CC45" s="2"/>
      <c r="CD45" s="1"/>
      <c r="CE45" s="2"/>
      <c r="CF45" s="1"/>
      <c r="CG45" s="2"/>
      <c r="CH45" s="1"/>
      <c r="CI45" s="2"/>
      <c r="CJ45" s="1"/>
      <c r="CK45" s="2"/>
      <c r="CL45" s="1"/>
      <c r="CM45" s="2"/>
      <c r="CN45" s="1"/>
      <c r="CO45" s="2"/>
      <c r="CP45" s="1"/>
      <c r="CQ45" s="2"/>
      <c r="CR45" s="1"/>
      <c r="CS45" s="2"/>
      <c r="CT45" s="1"/>
      <c r="CU45" s="2"/>
      <c r="CV45" s="1"/>
      <c r="CW45" s="2"/>
      <c r="CX45" s="1"/>
      <c r="CY45" s="2"/>
      <c r="CZ45" s="1"/>
      <c r="DA45" s="2"/>
      <c r="DB45" s="1"/>
      <c r="DC45" s="2"/>
      <c r="DD45" s="1"/>
      <c r="DE45" s="2"/>
      <c r="DF45" s="1"/>
      <c r="DG45" s="2"/>
    </row>
    <row r="46" spans="1:111" ht="12.75" customHeight="1">
      <c r="A46" s="2"/>
      <c r="B46" s="2"/>
      <c r="C46" s="15" t="s">
        <v>64</v>
      </c>
      <c r="D46" s="2"/>
      <c r="E46" s="2"/>
      <c r="J46" s="1"/>
      <c r="K46" s="43"/>
      <c r="L46" s="1"/>
      <c r="M46" s="43"/>
      <c r="N46" s="1"/>
      <c r="O46" s="43"/>
      <c r="P46" s="1"/>
      <c r="Q46" s="43"/>
      <c r="R46" s="1"/>
      <c r="S46" s="43"/>
      <c r="T46" s="1"/>
      <c r="U46" s="43"/>
      <c r="V46" s="1"/>
      <c r="W46" s="43"/>
      <c r="X46" s="1"/>
      <c r="Y46" s="43"/>
      <c r="Z46" s="1"/>
      <c r="AA46" s="43"/>
      <c r="AB46" s="1"/>
      <c r="AC46" s="43"/>
      <c r="AD46" s="1"/>
      <c r="AE46" s="43"/>
      <c r="AF46" s="1"/>
      <c r="AG46" s="43"/>
      <c r="AH46" s="1"/>
      <c r="AI46" s="43"/>
      <c r="AJ46" s="1"/>
      <c r="AK46" s="43"/>
      <c r="AL46" s="1"/>
      <c r="AM46" s="43"/>
      <c r="AN46" s="1"/>
      <c r="AO46" s="43"/>
      <c r="AP46" s="1"/>
      <c r="AQ46" s="43"/>
      <c r="AR46" s="1"/>
      <c r="AS46" s="43"/>
      <c r="AT46" s="1"/>
      <c r="AU46" s="43"/>
      <c r="AV46" s="1"/>
      <c r="AW46" s="43"/>
      <c r="AX46" s="1"/>
      <c r="AY46" s="43"/>
      <c r="AZ46" s="1"/>
      <c r="BA46" s="43"/>
      <c r="BB46" s="1"/>
      <c r="BC46" s="43"/>
      <c r="BD46" s="1"/>
      <c r="BE46" s="43"/>
      <c r="BF46" s="1"/>
      <c r="BG46" s="43"/>
      <c r="BH46" s="1"/>
      <c r="BI46" s="43"/>
      <c r="BJ46" s="1"/>
      <c r="BK46" s="43"/>
      <c r="BL46" s="1"/>
      <c r="BM46" s="43"/>
      <c r="BN46" s="1"/>
      <c r="BO46" s="43"/>
      <c r="BP46" s="1"/>
      <c r="BQ46" s="43"/>
      <c r="BR46" s="1"/>
      <c r="BS46" s="43"/>
      <c r="BT46" s="1"/>
      <c r="BU46" s="43"/>
      <c r="BV46" s="1"/>
      <c r="BW46" s="43"/>
      <c r="BX46" s="1"/>
      <c r="BY46" s="43"/>
      <c r="BZ46" s="1"/>
      <c r="CA46" s="43"/>
      <c r="CB46" s="1"/>
      <c r="CC46" s="43"/>
      <c r="CD46" s="1"/>
      <c r="CE46" s="43"/>
      <c r="CF46" s="1"/>
      <c r="CG46" s="43"/>
      <c r="CH46" s="1"/>
      <c r="CI46" s="43"/>
      <c r="CJ46" s="1"/>
      <c r="CK46" s="43"/>
      <c r="CL46" s="1"/>
      <c r="CM46" s="43"/>
      <c r="CN46" s="1"/>
      <c r="CO46" s="43"/>
      <c r="CP46" s="1"/>
      <c r="CQ46" s="43"/>
      <c r="CR46" s="1"/>
      <c r="CS46" s="43"/>
      <c r="CT46" s="1"/>
      <c r="CU46" s="43"/>
      <c r="CV46" s="1"/>
      <c r="CW46" s="43"/>
      <c r="CX46" s="1"/>
      <c r="CY46" s="43"/>
      <c r="CZ46" s="1"/>
      <c r="DA46" s="43"/>
      <c r="DB46" s="1"/>
      <c r="DC46" s="43"/>
      <c r="DD46" s="1"/>
      <c r="DE46" s="43"/>
      <c r="DF46" s="1"/>
      <c r="DG46" s="43"/>
    </row>
    <row r="47" spans="1:111" ht="12.75" customHeight="1">
      <c r="A47" s="2"/>
      <c r="B47" s="2"/>
      <c r="C47" s="2"/>
      <c r="D47" s="2"/>
      <c r="E47" s="2"/>
      <c r="J47" s="1"/>
      <c r="K47" s="42"/>
      <c r="L47" s="1"/>
      <c r="M47" s="42"/>
      <c r="N47" s="1"/>
      <c r="O47" s="42"/>
      <c r="P47" s="1"/>
      <c r="Q47" s="42"/>
      <c r="R47" s="1"/>
      <c r="S47" s="42"/>
      <c r="T47" s="1"/>
      <c r="U47" s="42"/>
      <c r="V47" s="1"/>
      <c r="W47" s="42"/>
      <c r="X47" s="1"/>
      <c r="Y47" s="42"/>
      <c r="Z47" s="1"/>
      <c r="AA47" s="42"/>
      <c r="AB47" s="1"/>
      <c r="AC47" s="42"/>
      <c r="AD47" s="1"/>
      <c r="AE47" s="42"/>
      <c r="AF47" s="1"/>
      <c r="AG47" s="42"/>
      <c r="AH47" s="1"/>
      <c r="AI47" s="42"/>
      <c r="AJ47" s="1"/>
      <c r="AK47" s="42"/>
      <c r="AL47" s="1"/>
      <c r="AM47" s="42"/>
      <c r="AN47" s="1"/>
      <c r="AO47" s="42"/>
      <c r="AP47" s="1"/>
      <c r="AQ47" s="42"/>
      <c r="AR47" s="1"/>
      <c r="AS47" s="42"/>
      <c r="AT47" s="1"/>
      <c r="AU47" s="42"/>
      <c r="AV47" s="1"/>
      <c r="AW47" s="42"/>
      <c r="AX47" s="1"/>
      <c r="AY47" s="42"/>
      <c r="AZ47" s="1"/>
      <c r="BA47" s="42"/>
      <c r="BB47" s="1"/>
      <c r="BC47" s="42"/>
      <c r="BD47" s="1"/>
      <c r="BE47" s="42"/>
      <c r="BF47" s="1"/>
      <c r="BG47" s="42"/>
      <c r="BH47" s="1"/>
      <c r="BI47" s="42"/>
      <c r="BJ47" s="1"/>
      <c r="BK47" s="42"/>
      <c r="BL47" s="1"/>
      <c r="BM47" s="42"/>
      <c r="BN47" s="1"/>
      <c r="BO47" s="42"/>
      <c r="BP47" s="1"/>
      <c r="BQ47" s="42"/>
      <c r="BR47" s="1"/>
      <c r="BS47" s="42"/>
      <c r="BT47" s="1"/>
      <c r="BU47" s="42"/>
      <c r="BV47" s="1"/>
      <c r="BW47" s="42"/>
      <c r="BX47" s="1"/>
      <c r="BY47" s="42"/>
      <c r="BZ47" s="1"/>
      <c r="CA47" s="42"/>
      <c r="CB47" s="1"/>
      <c r="CC47" s="42"/>
      <c r="CD47" s="1"/>
      <c r="CE47" s="42"/>
      <c r="CF47" s="1"/>
      <c r="CG47" s="42"/>
      <c r="CH47" s="1"/>
      <c r="CI47" s="42"/>
      <c r="CJ47" s="1"/>
      <c r="CK47" s="42"/>
      <c r="CL47" s="1"/>
      <c r="CM47" s="42"/>
      <c r="CN47" s="1"/>
      <c r="CO47" s="42"/>
      <c r="CP47" s="1"/>
      <c r="CQ47" s="42"/>
      <c r="CR47" s="1"/>
      <c r="CS47" s="42"/>
      <c r="CT47" s="1"/>
      <c r="CU47" s="42"/>
      <c r="CV47" s="1"/>
      <c r="CW47" s="42"/>
      <c r="CX47" s="1"/>
      <c r="CY47" s="42"/>
      <c r="CZ47" s="1"/>
      <c r="DA47" s="42"/>
      <c r="DB47" s="1"/>
      <c r="DC47" s="42"/>
      <c r="DD47" s="1"/>
      <c r="DE47" s="42"/>
      <c r="DF47" s="1"/>
      <c r="DG47" s="42"/>
    </row>
    <row r="48" spans="1:111" ht="12.75" customHeight="1">
      <c r="A48" s="2"/>
      <c r="B48" s="2"/>
      <c r="C48" s="2" t="s">
        <v>65</v>
      </c>
      <c r="D48" s="2"/>
      <c r="E48" s="2"/>
      <c r="J48" s="1">
        <f>'Cash Flow'!I50</f>
        <v>37427966.10169493</v>
      </c>
      <c r="K48" s="42"/>
      <c r="L48" s="1">
        <f>'Cash Flow'!K50</f>
        <v>36696381.2976793</v>
      </c>
      <c r="M48" s="42"/>
      <c r="N48" s="1">
        <f>'Cash Flow'!M50</f>
        <v>35898953.861302264</v>
      </c>
      <c r="O48" s="42"/>
      <c r="P48" s="1">
        <f>'Cash Flow'!O50</f>
        <v>35029757.9556513</v>
      </c>
      <c r="Q48" s="42"/>
      <c r="R48" s="1">
        <f>'Cash Flow'!Q50</f>
        <v>34082334.41849174</v>
      </c>
      <c r="S48" s="42"/>
      <c r="T48" s="1">
        <f>'Cash Flow'!S50</f>
        <v>33049642.762987826</v>
      </c>
      <c r="U48" s="42"/>
      <c r="V48" s="1">
        <f>'Cash Flow'!U50</f>
        <v>31924008.858488556</v>
      </c>
      <c r="W48" s="42"/>
      <c r="X48" s="1">
        <f>'Cash Flow'!W50</f>
        <v>30697067.90258435</v>
      </c>
      <c r="Y48" s="42"/>
      <c r="Z48" s="1">
        <f>'Cash Flow'!Y50</f>
        <v>29359702.260648772</v>
      </c>
      <c r="AA48" s="42"/>
      <c r="AB48" s="1">
        <f>'Cash Flow'!AA50</f>
        <v>27901973.71093899</v>
      </c>
      <c r="AC48" s="42"/>
      <c r="AD48" s="1">
        <f>'Cash Flow'!AC50</f>
        <v>26313049.591755327</v>
      </c>
      <c r="AE48" s="42"/>
      <c r="AF48" s="1">
        <f>'Cash Flow'!AE50</f>
        <v>24581122.301845133</v>
      </c>
      <c r="AG48" s="42"/>
      <c r="AH48" s="1">
        <f>'Cash Flow'!AG50</f>
        <v>22693321.55584302</v>
      </c>
      <c r="AI48" s="42"/>
      <c r="AJ48" s="1">
        <f>'Cash Flow'!AI50</f>
        <v>20635618.742700722</v>
      </c>
      <c r="AK48" s="42"/>
      <c r="AL48" s="1">
        <f>'Cash Flow'!AK50</f>
        <v>18392722.676375613</v>
      </c>
      <c r="AM48" s="42"/>
      <c r="AN48" s="1">
        <f>'Cash Flow'!AM50</f>
        <v>15947965.964081243</v>
      </c>
      <c r="AO48" s="42"/>
      <c r="AP48" s="1">
        <f>'Cash Flow'!AO50</f>
        <v>13283181.14768038</v>
      </c>
      <c r="AQ48" s="42"/>
      <c r="AR48" s="1">
        <f>'Cash Flow'!AQ50</f>
        <v>10378565.697803438</v>
      </c>
      <c r="AS48" s="42"/>
      <c r="AT48" s="1">
        <f>'Cash Flow'!AS50</f>
        <v>7212534.857437572</v>
      </c>
      <c r="AU48" s="42"/>
      <c r="AV48" s="1">
        <f>'Cash Flow'!AU50</f>
        <v>3761561.2414387795</v>
      </c>
      <c r="AW48" s="42"/>
      <c r="AX48" s="1">
        <f>'Cash Flow'!AW50</f>
        <v>0</v>
      </c>
      <c r="AY48" s="42"/>
      <c r="AZ48" s="1">
        <f>'Cash Flow'!AY50</f>
        <v>0</v>
      </c>
      <c r="BA48" s="42"/>
      <c r="BB48" s="1">
        <f>'Cash Flow'!BA50</f>
        <v>0</v>
      </c>
      <c r="BC48" s="42"/>
      <c r="BD48" s="1">
        <f>'Cash Flow'!BC50</f>
        <v>0</v>
      </c>
      <c r="BE48" s="42"/>
      <c r="BF48" s="1">
        <f>'Cash Flow'!BE50</f>
        <v>0</v>
      </c>
      <c r="BG48" s="42"/>
      <c r="BH48" s="1">
        <f>'Cash Flow'!BG50</f>
        <v>0</v>
      </c>
      <c r="BI48" s="42"/>
      <c r="BJ48" s="1">
        <f>'Cash Flow'!BI50</f>
        <v>0</v>
      </c>
      <c r="BK48" s="42"/>
      <c r="BL48" s="1">
        <f>'Cash Flow'!BK50</f>
        <v>0</v>
      </c>
      <c r="BM48" s="42"/>
      <c r="BN48" s="1">
        <f>'Cash Flow'!BM50</f>
        <v>0</v>
      </c>
      <c r="BO48" s="42"/>
      <c r="BP48" s="1">
        <f>'Cash Flow'!BO50</f>
        <v>0</v>
      </c>
      <c r="BQ48" s="42"/>
      <c r="BR48" s="1">
        <f>'Cash Flow'!BQ50</f>
        <v>0</v>
      </c>
      <c r="BS48" s="42"/>
      <c r="BT48" s="1">
        <f>'Cash Flow'!BS50</f>
        <v>0</v>
      </c>
      <c r="BU48" s="42"/>
      <c r="BV48" s="1">
        <f>'Cash Flow'!BU50</f>
        <v>0</v>
      </c>
      <c r="BW48" s="42"/>
      <c r="BX48" s="1">
        <f>'Cash Flow'!BW50</f>
        <v>0</v>
      </c>
      <c r="BY48" s="42"/>
      <c r="BZ48" s="1">
        <f>'Cash Flow'!BY50</f>
        <v>0</v>
      </c>
      <c r="CA48" s="42"/>
      <c r="CB48" s="1">
        <f>'Cash Flow'!CA50</f>
        <v>0</v>
      </c>
      <c r="CC48" s="42"/>
      <c r="CD48" s="1">
        <f>'Cash Flow'!CC50</f>
        <v>0</v>
      </c>
      <c r="CE48" s="42"/>
      <c r="CF48" s="1">
        <f>'Cash Flow'!CE50</f>
        <v>0</v>
      </c>
      <c r="CG48" s="42"/>
      <c r="CH48" s="1">
        <f>'Cash Flow'!CG50</f>
        <v>0</v>
      </c>
      <c r="CI48" s="42"/>
      <c r="CJ48" s="1">
        <f>'Cash Flow'!CI50</f>
        <v>0</v>
      </c>
      <c r="CK48" s="42"/>
      <c r="CL48" s="1">
        <f>'Cash Flow'!CK50</f>
        <v>0</v>
      </c>
      <c r="CM48" s="42"/>
      <c r="CN48" s="1">
        <f>'Cash Flow'!CM50</f>
        <v>0</v>
      </c>
      <c r="CO48" s="42"/>
      <c r="CP48" s="1">
        <f>'Cash Flow'!CO50</f>
        <v>0</v>
      </c>
      <c r="CQ48" s="42"/>
      <c r="CR48" s="1">
        <f>'Cash Flow'!CQ50</f>
        <v>0</v>
      </c>
      <c r="CS48" s="42"/>
      <c r="CT48" s="1">
        <f>'Cash Flow'!CS50</f>
        <v>0</v>
      </c>
      <c r="CU48" s="42"/>
      <c r="CV48" s="1">
        <f>'Cash Flow'!CU50</f>
        <v>0</v>
      </c>
      <c r="CW48" s="42"/>
      <c r="CX48" s="1">
        <f>'Cash Flow'!CW50</f>
        <v>0</v>
      </c>
      <c r="CY48" s="42"/>
      <c r="CZ48" s="1">
        <f>'Cash Flow'!CY50</f>
        <v>0</v>
      </c>
      <c r="DA48" s="42"/>
      <c r="DB48" s="1">
        <f>'Cash Flow'!DA50</f>
        <v>0</v>
      </c>
      <c r="DC48" s="42"/>
      <c r="DD48" s="1">
        <f>'Cash Flow'!DC50</f>
        <v>0</v>
      </c>
      <c r="DE48" s="42"/>
      <c r="DF48" s="1">
        <f>'Cash Flow'!DE50</f>
        <v>0</v>
      </c>
      <c r="DG48" s="42"/>
    </row>
    <row r="49" spans="1:111" ht="12.75" customHeight="1">
      <c r="A49" s="2"/>
      <c r="B49" s="2"/>
      <c r="C49" s="2" t="s">
        <v>77</v>
      </c>
      <c r="D49" s="2"/>
      <c r="E49" s="2"/>
      <c r="J49" s="186">
        <f>IF(J3-'Enter and Change Data Here'!$G$26&lt;='Enter and Change Data Here'!$G$12,F49-'Cash Flow'!I39,0)</f>
        <v>-1200000</v>
      </c>
      <c r="K49" s="42"/>
      <c r="L49" s="186">
        <f>IF(L3-'Enter and Change Data Here'!$G$26&lt;='Enter and Change Data Here'!$G$12,J49-'Cash Flow'!K39,0)</f>
        <v>263940.51525399997</v>
      </c>
      <c r="M49" s="42"/>
      <c r="N49" s="186">
        <f>IF(N3-'Enter and Change Data Here'!$G$26&lt;='Enter and Change Data Here'!$G$12,L49-'Cash Flow'!M39,0)</f>
        <v>2548421.1734269997</v>
      </c>
      <c r="O49" s="42"/>
      <c r="P49" s="186">
        <f>IF(P3-'Enter and Change Data Here'!$G$26&lt;='Enter and Change Data Here'!$G$12,N49-'Cash Flow'!O39,0)</f>
        <v>5331220.940684</v>
      </c>
      <c r="Q49" s="42"/>
      <c r="R49" s="186">
        <f>IF(R3-'Enter and Change Data Here'!$G$26&lt;='Enter and Change Data Here'!$G$12,P49-'Cash Flow'!Q39,0)</f>
        <v>8273408.818682</v>
      </c>
      <c r="S49" s="42"/>
      <c r="T49" s="186">
        <f>IF(T3-'Enter and Change Data Here'!$G$26&lt;='Enter and Change Data Here'!$G$12,R49-'Cash Flow'!S39,0)</f>
        <v>11380525.109606</v>
      </c>
      <c r="U49" s="42"/>
      <c r="V49" s="186">
        <f>IF(V3-'Enter and Change Data Here'!$G$26&lt;='Enter and Change Data Here'!$G$12,T49-'Cash Flow'!U39,0)</f>
        <v>14658414.206970999</v>
      </c>
      <c r="W49" s="42"/>
      <c r="X49" s="186">
        <f>IF(X3-'Enter and Change Data Here'!$G$26&lt;='Enter and Change Data Here'!$G$12,V49-'Cash Flow'!W39,0)</f>
        <v>18113248.271592997</v>
      </c>
      <c r="Y49" s="42"/>
      <c r="Z49" s="186">
        <f>IF(Z3-'Enter and Change Data Here'!$G$26&lt;='Enter and Change Data Here'!$G$12,X49-'Cash Flow'!Y39,0)</f>
        <v>21496779.661016997</v>
      </c>
      <c r="AA49" s="42"/>
      <c r="AB49" s="186">
        <f>IF(AB3-'Enter and Change Data Here'!$G$26&lt;='Enter and Change Data Here'!$G$12,Z49-'Cash Flow'!AA39,0)</f>
        <v>19705381.355931997</v>
      </c>
      <c r="AC49" s="42"/>
      <c r="AD49" s="186">
        <f>IF(AD3-'Enter and Change Data Here'!$G$26&lt;='Enter and Change Data Here'!$G$12,AB49-'Cash Flow'!AC39,0)</f>
        <v>17913983.050846998</v>
      </c>
      <c r="AE49" s="42"/>
      <c r="AF49" s="186">
        <f>IF(AF3-'Enter and Change Data Here'!$G$26&lt;='Enter and Change Data Here'!$G$12,AD49-'Cash Flow'!AE39,0)</f>
        <v>16122584.745761998</v>
      </c>
      <c r="AG49" s="42"/>
      <c r="AH49" s="186">
        <f>IF(AH3-'Enter and Change Data Here'!$G$26&lt;='Enter and Change Data Here'!$G$12,AF49-'Cash Flow'!AG39,0)</f>
        <v>14331186.440676998</v>
      </c>
      <c r="AI49" s="42"/>
      <c r="AJ49" s="186">
        <f>IF(AJ3-'Enter and Change Data Here'!$G$26&lt;='Enter and Change Data Here'!$G$12,AH49-'Cash Flow'!AI39,0)</f>
        <v>12539788.135591999</v>
      </c>
      <c r="AK49" s="42"/>
      <c r="AL49" s="186">
        <f>IF(AL3-'Enter and Change Data Here'!$G$26&lt;='Enter and Change Data Here'!$G$12,AJ49-'Cash Flow'!AK39,0)</f>
        <v>10748389.830506999</v>
      </c>
      <c r="AM49" s="42"/>
      <c r="AN49" s="186">
        <f>IF(AN3-'Enter and Change Data Here'!$G$26&lt;='Enter and Change Data Here'!$G$12,AL49-'Cash Flow'!AM39,0)</f>
        <v>8956991.525422</v>
      </c>
      <c r="AO49" s="42"/>
      <c r="AP49" s="186">
        <f>IF(AP3-'Enter and Change Data Here'!$G$26&lt;='Enter and Change Data Here'!$G$12,AN49-'Cash Flow'!AO39,0)</f>
        <v>7165593.220337</v>
      </c>
      <c r="AQ49" s="42"/>
      <c r="AR49" s="186">
        <f>IF(AR3-'Enter and Change Data Here'!$G$26&lt;='Enter and Change Data Here'!$G$12,AP49-'Cash Flow'!AQ39,0)</f>
        <v>5374194.915252</v>
      </c>
      <c r="AS49" s="42"/>
      <c r="AT49" s="186">
        <f>IF(AT3-'Enter and Change Data Here'!$G$26&lt;='Enter and Change Data Here'!$G$12,AR49-'Cash Flow'!AS39,0)</f>
        <v>3582796.610167</v>
      </c>
      <c r="AU49" s="42"/>
      <c r="AV49" s="186">
        <f>IF(AV3-'Enter and Change Data Here'!$G$26&lt;='Enter and Change Data Here'!$G$12,AT49-'Cash Flow'!AU39,0)</f>
        <v>1791398.3050819999</v>
      </c>
      <c r="AW49" s="42"/>
      <c r="AX49" s="186">
        <f>IF(AX3-'Enter and Change Data Here'!$G$26&lt;='Enter and Change Data Here'!$G$12,AV49-'Cash Flow'!AW39,0)</f>
        <v>-3.000255674123764E-06</v>
      </c>
      <c r="AY49" s="42"/>
      <c r="AZ49" s="186">
        <f>IF(AZ3-'Enter and Change Data Here'!$G$26&lt;='Enter and Change Data Here'!$G$12,AX49-'Cash Flow'!AY39,0)</f>
        <v>-3.000255674123764E-06</v>
      </c>
      <c r="BA49" s="42"/>
      <c r="BB49" s="186">
        <f>IF(BB3-'Enter and Change Data Here'!$G$26&lt;='Enter and Change Data Here'!$G$12,AZ49-'Cash Flow'!BA39,0)</f>
        <v>-3.000255674123764E-06</v>
      </c>
      <c r="BC49" s="42"/>
      <c r="BD49" s="186">
        <f>IF(BD3-'Enter and Change Data Here'!$G$26&lt;='Enter and Change Data Here'!$G$12,BB49-'Cash Flow'!BC39,0)</f>
        <v>-3.000255674123764E-06</v>
      </c>
      <c r="BE49" s="42"/>
      <c r="BF49" s="186">
        <f>IF(BF3-'Enter and Change Data Here'!$G$26&lt;='Enter and Change Data Here'!$G$12,BD49-'Cash Flow'!BE39,0)</f>
        <v>-3.000255674123764E-06</v>
      </c>
      <c r="BG49" s="42"/>
      <c r="BH49" s="186">
        <f>IF(BH3-'Enter and Change Data Here'!$G$26&lt;='Enter and Change Data Here'!$G$12,BF49-'Cash Flow'!BG39,0)</f>
        <v>-3.000255674123764E-06</v>
      </c>
      <c r="BI49" s="42"/>
      <c r="BJ49" s="186">
        <f>IF(BJ3-'Enter and Change Data Here'!$G$26&lt;='Enter and Change Data Here'!$G$12,BH49-'Cash Flow'!BI39,0)</f>
        <v>0</v>
      </c>
      <c r="BK49" s="42"/>
      <c r="BL49" s="186">
        <f>IF(BL3-'Enter and Change Data Here'!$G$26&lt;='Enter and Change Data Here'!$G$12,BJ49-'Cash Flow'!BK39,0)</f>
        <v>0</v>
      </c>
      <c r="BM49" s="42"/>
      <c r="BN49" s="186">
        <f>IF(BN3-'Enter and Change Data Here'!$G$26&lt;='Enter and Change Data Here'!$G$12,BL49-'Cash Flow'!BM39,0)</f>
        <v>0</v>
      </c>
      <c r="BO49" s="42"/>
      <c r="BP49" s="186">
        <f>IF(BP3-'Enter and Change Data Here'!$G$26&lt;='Enter and Change Data Here'!$G$12,BN49-'Cash Flow'!BO39,0)</f>
        <v>0</v>
      </c>
      <c r="BQ49" s="42"/>
      <c r="BR49" s="186">
        <f>IF(BR3-'Enter and Change Data Here'!$G$26&lt;='Enter and Change Data Here'!$G$12,BP49-'Cash Flow'!BQ39,0)</f>
        <v>0</v>
      </c>
      <c r="BS49" s="42"/>
      <c r="BT49" s="186">
        <f>IF(BT3-'Enter and Change Data Here'!$G$26&lt;='Enter and Change Data Here'!$G$12,BR49-'Cash Flow'!BS39,0)</f>
        <v>0</v>
      </c>
      <c r="BU49" s="42"/>
      <c r="BV49" s="186">
        <f>IF(BV3-'Enter and Change Data Here'!$G$26&lt;='Enter and Change Data Here'!$G$12,BT49-'Cash Flow'!BU39,0)</f>
        <v>0</v>
      </c>
      <c r="BW49" s="42"/>
      <c r="BX49" s="186">
        <f>IF(BX3-'Enter and Change Data Here'!$G$26&lt;='Enter and Change Data Here'!$G$12,BV49-'Cash Flow'!BW39,0)</f>
        <v>0</v>
      </c>
      <c r="BY49" s="42"/>
      <c r="BZ49" s="186">
        <f>IF(BZ3-'Enter and Change Data Here'!$G$26&lt;='Enter and Change Data Here'!$G$12,BX49-'Cash Flow'!BY39,0)</f>
        <v>0</v>
      </c>
      <c r="CA49" s="42"/>
      <c r="CB49" s="186">
        <f>IF(CB3-'Enter and Change Data Here'!$G$26&lt;='Enter and Change Data Here'!$G$12,BZ49-'Cash Flow'!CA39,0)</f>
        <v>0</v>
      </c>
      <c r="CC49" s="42"/>
      <c r="CD49" s="186">
        <f>IF(CD3-'Enter and Change Data Here'!$G$26&lt;='Enter and Change Data Here'!$G$12,CB49-'Cash Flow'!CC39,0)</f>
        <v>0</v>
      </c>
      <c r="CE49" s="42"/>
      <c r="CF49" s="186">
        <f>IF(CF3-'Enter and Change Data Here'!$G$26&lt;='Enter and Change Data Here'!$G$12,CD49-'Cash Flow'!CE39,0)</f>
        <v>0</v>
      </c>
      <c r="CG49" s="42"/>
      <c r="CH49" s="186">
        <f>IF(CH3-'Enter and Change Data Here'!$G$26&lt;='Enter and Change Data Here'!$G$12,CF49-'Cash Flow'!CG39,0)</f>
        <v>0</v>
      </c>
      <c r="CI49" s="42"/>
      <c r="CJ49" s="186">
        <f>IF(CJ3-'Enter and Change Data Here'!$G$26&lt;='Enter and Change Data Here'!$G$12,CH49-'Cash Flow'!CI39,0)</f>
        <v>0</v>
      </c>
      <c r="CK49" s="42"/>
      <c r="CL49" s="186">
        <f>IF(CL3-'Enter and Change Data Here'!$G$26&lt;='Enter and Change Data Here'!$G$12,CJ49-'Cash Flow'!CK39,0)</f>
        <v>0</v>
      </c>
      <c r="CM49" s="42"/>
      <c r="CN49" s="186">
        <f>IF(CN3-'Enter and Change Data Here'!$G$26&lt;='Enter and Change Data Here'!$G$12,CL49-'Cash Flow'!CM39,0)</f>
        <v>0</v>
      </c>
      <c r="CO49" s="42"/>
      <c r="CP49" s="186">
        <f>IF(CP3-'Enter and Change Data Here'!$G$26&lt;='Enter and Change Data Here'!$G$12,CN49-'Cash Flow'!CO39,0)</f>
        <v>0</v>
      </c>
      <c r="CQ49" s="42"/>
      <c r="CR49" s="186">
        <f>IF(CR3-'Enter and Change Data Here'!$G$26&lt;='Enter and Change Data Here'!$G$12,CP49-'Cash Flow'!CQ39,0)</f>
        <v>0</v>
      </c>
      <c r="CS49" s="42"/>
      <c r="CT49" s="186">
        <f>IF(CT3-'Enter and Change Data Here'!$G$26&lt;='Enter and Change Data Here'!$G$12,CR49-'Cash Flow'!CS39,0)</f>
        <v>0</v>
      </c>
      <c r="CU49" s="42"/>
      <c r="CV49" s="186">
        <f>IF(CV3-'Enter and Change Data Here'!$G$26&lt;='Enter and Change Data Here'!$G$12,CT49-'Cash Flow'!CU39,0)</f>
        <v>0</v>
      </c>
      <c r="CW49" s="42"/>
      <c r="CX49" s="186">
        <f>IF(CX3-'Enter and Change Data Here'!$G$26&lt;='Enter and Change Data Here'!$G$12,CV49-'Cash Flow'!CW39,0)</f>
        <v>0</v>
      </c>
      <c r="CY49" s="42"/>
      <c r="CZ49" s="186">
        <f>IF(CZ3-'Enter and Change Data Here'!$G$26&lt;='Enter and Change Data Here'!$G$12,CX49-'Cash Flow'!CY39,0)</f>
        <v>0</v>
      </c>
      <c r="DA49" s="42"/>
      <c r="DB49" s="186">
        <f>IF(DB3-'Enter and Change Data Here'!$G$26&lt;='Enter and Change Data Here'!$G$12,CZ49-'Cash Flow'!DA39,0)</f>
        <v>0</v>
      </c>
      <c r="DC49" s="42"/>
      <c r="DD49" s="186">
        <f>IF(DD3-'Enter and Change Data Here'!$G$26&lt;='Enter and Change Data Here'!$G$12,DB49-'Cash Flow'!DC39,0)</f>
        <v>0</v>
      </c>
      <c r="DE49" s="42"/>
      <c r="DF49" s="186">
        <f>IF(DF3-'Enter and Change Data Here'!$G$26&lt;='Enter and Change Data Here'!$G$12,DD49-'Cash Flow'!DE39,0)</f>
        <v>0</v>
      </c>
      <c r="DG49" s="42"/>
    </row>
    <row r="50" spans="1:111" ht="12.75" customHeight="1">
      <c r="A50" s="2"/>
      <c r="B50" s="2"/>
      <c r="C50" s="2"/>
      <c r="D50" s="2"/>
      <c r="E50" s="2"/>
      <c r="J50" s="1"/>
      <c r="K50" s="42"/>
      <c r="L50" s="1"/>
      <c r="M50" s="42"/>
      <c r="N50" s="1"/>
      <c r="O50" s="42"/>
      <c r="P50" s="1"/>
      <c r="Q50" s="42"/>
      <c r="R50" s="1"/>
      <c r="S50" s="42"/>
      <c r="T50" s="1"/>
      <c r="U50" s="42"/>
      <c r="V50" s="1"/>
      <c r="W50" s="42"/>
      <c r="X50" s="1"/>
      <c r="Y50" s="42"/>
      <c r="Z50" s="1"/>
      <c r="AA50" s="42"/>
      <c r="AB50" s="1"/>
      <c r="AC50" s="42"/>
      <c r="AD50" s="1"/>
      <c r="AE50" s="42"/>
      <c r="AF50" s="1"/>
      <c r="AG50" s="42"/>
      <c r="AH50" s="1"/>
      <c r="AI50" s="42"/>
      <c r="AJ50" s="1"/>
      <c r="AK50" s="42"/>
      <c r="AL50" s="1"/>
      <c r="AM50" s="42"/>
      <c r="AN50" s="1"/>
      <c r="AO50" s="42"/>
      <c r="AP50" s="1"/>
      <c r="AQ50" s="42"/>
      <c r="AR50" s="1"/>
      <c r="AS50" s="42"/>
      <c r="AT50" s="1"/>
      <c r="AU50" s="42"/>
      <c r="AV50" s="1"/>
      <c r="AW50" s="42"/>
      <c r="AX50" s="1"/>
      <c r="AY50" s="42"/>
      <c r="AZ50" s="1"/>
      <c r="BA50" s="42"/>
      <c r="BB50" s="1"/>
      <c r="BC50" s="42"/>
      <c r="BD50" s="1"/>
      <c r="BE50" s="42"/>
      <c r="BF50" s="1"/>
      <c r="BG50" s="42"/>
      <c r="BH50" s="1"/>
      <c r="BI50" s="42"/>
      <c r="BJ50" s="1"/>
      <c r="BK50" s="42"/>
      <c r="BL50" s="1"/>
      <c r="BM50" s="42"/>
      <c r="BN50" s="1"/>
      <c r="BO50" s="42"/>
      <c r="BP50" s="1"/>
      <c r="BQ50" s="42"/>
      <c r="BR50" s="1"/>
      <c r="BS50" s="42"/>
      <c r="BT50" s="1"/>
      <c r="BU50" s="42"/>
      <c r="BV50" s="1"/>
      <c r="BW50" s="42"/>
      <c r="BX50" s="1"/>
      <c r="BY50" s="42"/>
      <c r="BZ50" s="1"/>
      <c r="CA50" s="42"/>
      <c r="CB50" s="1"/>
      <c r="CC50" s="42"/>
      <c r="CD50" s="1"/>
      <c r="CE50" s="42"/>
      <c r="CF50" s="1"/>
      <c r="CG50" s="42"/>
      <c r="CH50" s="1"/>
      <c r="CI50" s="42"/>
      <c r="CJ50" s="1"/>
      <c r="CK50" s="42"/>
      <c r="CL50" s="1"/>
      <c r="CM50" s="42"/>
      <c r="CN50" s="1"/>
      <c r="CO50" s="42"/>
      <c r="CP50" s="1"/>
      <c r="CQ50" s="42"/>
      <c r="CR50" s="1"/>
      <c r="CS50" s="42"/>
      <c r="CT50" s="1"/>
      <c r="CU50" s="42"/>
      <c r="CV50" s="1"/>
      <c r="CW50" s="42"/>
      <c r="CX50" s="1"/>
      <c r="CY50" s="42"/>
      <c r="CZ50" s="1"/>
      <c r="DA50" s="42"/>
      <c r="DB50" s="1"/>
      <c r="DC50" s="42"/>
      <c r="DD50" s="1"/>
      <c r="DE50" s="42"/>
      <c r="DF50" s="1"/>
      <c r="DG50" s="42"/>
    </row>
    <row r="51" spans="1:111" ht="12.75" customHeight="1">
      <c r="A51" s="2"/>
      <c r="B51" s="2"/>
      <c r="C51" s="2" t="s">
        <v>66</v>
      </c>
      <c r="D51" s="2"/>
      <c r="E51" s="2"/>
      <c r="J51" s="1">
        <f>IF(J3-'Enter and Change Data Here'!$G$12&lt;='Enter and Change Data Here'!$G$26,'Enter and Change Data Here'!$O$30,0)</f>
        <v>56141949.152542375</v>
      </c>
      <c r="K51" s="42"/>
      <c r="L51" s="1">
        <f>IF(L3-'Enter and Change Data Here'!$G$12&lt;='Enter and Change Data Here'!$G$26,'Enter and Change Data Here'!$O$30,0)</f>
        <v>56141949.152542375</v>
      </c>
      <c r="M51" s="42"/>
      <c r="N51" s="1">
        <f>IF(N3-'Enter and Change Data Here'!$G$12&lt;='Enter and Change Data Here'!$G$26,'Enter and Change Data Here'!$O$30,0)</f>
        <v>56141949.152542375</v>
      </c>
      <c r="O51" s="42"/>
      <c r="P51" s="1">
        <f>IF(P3-'Enter and Change Data Here'!$G$12&lt;='Enter and Change Data Here'!$G$26,'Enter and Change Data Here'!$O$30,0)</f>
        <v>56141949.152542375</v>
      </c>
      <c r="Q51" s="42"/>
      <c r="R51" s="1">
        <f>IF(R3-'Enter and Change Data Here'!$G$12&lt;='Enter and Change Data Here'!$G$26,'Enter and Change Data Here'!$O$30,0)</f>
        <v>56141949.152542375</v>
      </c>
      <c r="S51" s="42"/>
      <c r="T51" s="1">
        <f>IF(T3-'Enter and Change Data Here'!$G$12&lt;='Enter and Change Data Here'!$G$26,'Enter and Change Data Here'!$O$30,0)</f>
        <v>56141949.152542375</v>
      </c>
      <c r="U51" s="42"/>
      <c r="V51" s="1">
        <f>IF(V3-'Enter and Change Data Here'!$G$12&lt;='Enter and Change Data Here'!$G$26,'Enter and Change Data Here'!$O$30,0)</f>
        <v>56141949.152542375</v>
      </c>
      <c r="W51" s="42"/>
      <c r="X51" s="1">
        <f>IF(X3-'Enter and Change Data Here'!$G$12&lt;='Enter and Change Data Here'!$G$26,'Enter and Change Data Here'!$O$30,0)</f>
        <v>56141949.152542375</v>
      </c>
      <c r="Y51" s="42"/>
      <c r="Z51" s="1">
        <f>IF(Z3-'Enter and Change Data Here'!$G$12&lt;='Enter and Change Data Here'!$G$26,'Enter and Change Data Here'!$O$30,0)</f>
        <v>56141949.152542375</v>
      </c>
      <c r="AA51" s="42"/>
      <c r="AB51" s="1">
        <f>IF(AB3-'Enter and Change Data Here'!$G$12&lt;='Enter and Change Data Here'!$G$26,'Enter and Change Data Here'!$O$30,0)</f>
        <v>56141949.152542375</v>
      </c>
      <c r="AC51" s="42"/>
      <c r="AD51" s="1">
        <f>IF(AD3-'Enter and Change Data Here'!$G$12&lt;='Enter and Change Data Here'!$G$26,'Enter and Change Data Here'!$O$30,0)</f>
        <v>56141949.152542375</v>
      </c>
      <c r="AE51" s="42"/>
      <c r="AF51" s="1">
        <f>IF(AF3-'Enter and Change Data Here'!$G$12&lt;='Enter and Change Data Here'!$G$26,'Enter and Change Data Here'!$O$30,0)</f>
        <v>56141949.152542375</v>
      </c>
      <c r="AG51" s="42"/>
      <c r="AH51" s="1">
        <f>IF(AH3-'Enter and Change Data Here'!$G$12&lt;='Enter and Change Data Here'!$G$26,'Enter and Change Data Here'!$O$30,0)</f>
        <v>56141949.152542375</v>
      </c>
      <c r="AI51" s="42"/>
      <c r="AJ51" s="1">
        <f>IF(AJ3-'Enter and Change Data Here'!$G$12&lt;='Enter and Change Data Here'!$G$26,'Enter and Change Data Here'!$O$30,0)</f>
        <v>56141949.152542375</v>
      </c>
      <c r="AK51" s="42"/>
      <c r="AL51" s="1">
        <f>IF(AL3-'Enter and Change Data Here'!$G$12&lt;='Enter and Change Data Here'!$G$26,'Enter and Change Data Here'!$O$30,0)</f>
        <v>56141949.152542375</v>
      </c>
      <c r="AM51" s="42"/>
      <c r="AN51" s="1">
        <f>IF(AN3-'Enter and Change Data Here'!$G$12&lt;='Enter and Change Data Here'!$G$26,'Enter and Change Data Here'!$O$30,0)</f>
        <v>56141949.152542375</v>
      </c>
      <c r="AO51" s="42"/>
      <c r="AP51" s="1">
        <f>IF(AP3-'Enter and Change Data Here'!$G$12&lt;='Enter and Change Data Here'!$G$26,'Enter and Change Data Here'!$O$30,0)</f>
        <v>56141949.152542375</v>
      </c>
      <c r="AQ51" s="42"/>
      <c r="AR51" s="1">
        <f>IF(AR3-'Enter and Change Data Here'!$G$12&lt;='Enter and Change Data Here'!$G$26,'Enter and Change Data Here'!$O$30,0)</f>
        <v>56141949.152542375</v>
      </c>
      <c r="AS51" s="42"/>
      <c r="AT51" s="1">
        <f>IF(AT3-'Enter and Change Data Here'!$G$12&lt;='Enter and Change Data Here'!$G$26,'Enter and Change Data Here'!$O$30,0)</f>
        <v>56141949.152542375</v>
      </c>
      <c r="AU51" s="42"/>
      <c r="AV51" s="1">
        <f>IF(AV3-'Enter and Change Data Here'!$G$12&lt;='Enter and Change Data Here'!$G$26,'Enter and Change Data Here'!$O$30,0)</f>
        <v>56141949.152542375</v>
      </c>
      <c r="AW51" s="42"/>
      <c r="AX51" s="1">
        <f>IF(AX3-'Enter and Change Data Here'!$G$12&lt;='Enter and Change Data Here'!$G$26,'Enter and Change Data Here'!$O$30,0)</f>
        <v>56141949.152542375</v>
      </c>
      <c r="AY51" s="42"/>
      <c r="AZ51" s="1">
        <f>IF(AZ3-'Enter and Change Data Here'!$G$12&lt;='Enter and Change Data Here'!$G$26,'Enter and Change Data Here'!$O$30,0)</f>
        <v>56141949.152542375</v>
      </c>
      <c r="BA51" s="42"/>
      <c r="BB51" s="1">
        <f>IF(BB3-'Enter and Change Data Here'!$G$12&lt;='Enter and Change Data Here'!$G$26,'Enter and Change Data Here'!$O$30,0)</f>
        <v>56141949.152542375</v>
      </c>
      <c r="BC51" s="42"/>
      <c r="BD51" s="1">
        <f>IF(BD3-'Enter and Change Data Here'!$G$12&lt;='Enter and Change Data Here'!$G$26,'Enter and Change Data Here'!$O$30,0)</f>
        <v>56141949.152542375</v>
      </c>
      <c r="BE51" s="42"/>
      <c r="BF51" s="1">
        <f>IF(BF3-'Enter and Change Data Here'!$G$12&lt;='Enter and Change Data Here'!$G$26,'Enter and Change Data Here'!$O$30,0)</f>
        <v>56141949.152542375</v>
      </c>
      <c r="BG51" s="42"/>
      <c r="BH51" s="1">
        <f>IF(BH3-'Enter and Change Data Here'!$G$12&lt;='Enter and Change Data Here'!$G$26,'Enter and Change Data Here'!$O$30,0)</f>
        <v>56141949.152542375</v>
      </c>
      <c r="BI51" s="42"/>
      <c r="BJ51" s="1">
        <f>IF(BJ3-'Enter and Change Data Here'!$G$12&lt;='Enter and Change Data Here'!$G$26,'Enter and Change Data Here'!$O$30,0)</f>
        <v>0</v>
      </c>
      <c r="BK51" s="42"/>
      <c r="BL51" s="1">
        <f>IF(BL3-'Enter and Change Data Here'!$G$12&lt;='Enter and Change Data Here'!$G$26,'Enter and Change Data Here'!$O$30,0)</f>
        <v>0</v>
      </c>
      <c r="BM51" s="42"/>
      <c r="BN51" s="1">
        <f>IF(BN3-'Enter and Change Data Here'!$G$12&lt;='Enter and Change Data Here'!$G$26,'Enter and Change Data Here'!$O$30,0)</f>
        <v>0</v>
      </c>
      <c r="BO51" s="42"/>
      <c r="BP51" s="1">
        <f>IF(BP3-'Enter and Change Data Here'!$G$12&lt;='Enter and Change Data Here'!$G$26,'Enter and Change Data Here'!$O$30,0)</f>
        <v>0</v>
      </c>
      <c r="BQ51" s="42"/>
      <c r="BR51" s="1">
        <f>IF(BR3-'Enter and Change Data Here'!$G$12&lt;='Enter and Change Data Here'!$G$26,'Enter and Change Data Here'!$O$30,0)</f>
        <v>0</v>
      </c>
      <c r="BS51" s="42"/>
      <c r="BT51" s="1">
        <f>IF(BT3-'Enter and Change Data Here'!$G$12&lt;='Enter and Change Data Here'!$G$26,'Enter and Change Data Here'!$O$30,0)</f>
        <v>0</v>
      </c>
      <c r="BU51" s="42"/>
      <c r="BV51" s="1">
        <f>IF(BV3-'Enter and Change Data Here'!$G$12&lt;='Enter and Change Data Here'!$G$26,'Enter and Change Data Here'!$O$30,0)</f>
        <v>0</v>
      </c>
      <c r="BW51" s="42"/>
      <c r="BX51" s="1">
        <f>IF(BX3-'Enter and Change Data Here'!$G$12&lt;='Enter and Change Data Here'!$G$26,'Enter and Change Data Here'!$O$30,0)</f>
        <v>0</v>
      </c>
      <c r="BY51" s="42"/>
      <c r="BZ51" s="1">
        <f>IF(BZ3-'Enter and Change Data Here'!$G$12&lt;='Enter and Change Data Here'!$G$26,'Enter and Change Data Here'!$O$30,0)</f>
        <v>0</v>
      </c>
      <c r="CA51" s="42"/>
      <c r="CB51" s="1">
        <f>IF(CB3-'Enter and Change Data Here'!$G$12&lt;='Enter and Change Data Here'!$G$26,'Enter and Change Data Here'!$O$30,0)</f>
        <v>0</v>
      </c>
      <c r="CC51" s="42"/>
      <c r="CD51" s="1">
        <f>IF(CD3-'Enter and Change Data Here'!$G$12&lt;='Enter and Change Data Here'!$G$26,'Enter and Change Data Here'!$O$30,0)</f>
        <v>0</v>
      </c>
      <c r="CE51" s="42"/>
      <c r="CF51" s="1">
        <f>IF(CF3-'Enter and Change Data Here'!$G$12&lt;='Enter and Change Data Here'!$G$26,'Enter and Change Data Here'!$O$30,0)</f>
        <v>0</v>
      </c>
      <c r="CG51" s="42"/>
      <c r="CH51" s="1">
        <f>IF(CH3-'Enter and Change Data Here'!$G$12&lt;='Enter and Change Data Here'!$G$26,'Enter and Change Data Here'!$O$30,0)</f>
        <v>0</v>
      </c>
      <c r="CI51" s="42"/>
      <c r="CJ51" s="1">
        <f>IF(CJ3-'Enter and Change Data Here'!$G$12&lt;='Enter and Change Data Here'!$G$26,'Enter and Change Data Here'!$O$30,0)</f>
        <v>0</v>
      </c>
      <c r="CK51" s="42"/>
      <c r="CL51" s="1">
        <f>IF(CL3-'Enter and Change Data Here'!$G$12&lt;='Enter and Change Data Here'!$G$26,'Enter and Change Data Here'!$O$30,0)</f>
        <v>0</v>
      </c>
      <c r="CM51" s="42"/>
      <c r="CN51" s="1">
        <f>IF(CN3-'Enter and Change Data Here'!$G$12&lt;='Enter and Change Data Here'!$G$26,'Enter and Change Data Here'!$O$30,0)</f>
        <v>0</v>
      </c>
      <c r="CO51" s="42"/>
      <c r="CP51" s="1">
        <f>IF(CP3-'Enter and Change Data Here'!$G$12&lt;='Enter and Change Data Here'!$G$26,'Enter and Change Data Here'!$O$30,0)</f>
        <v>0</v>
      </c>
      <c r="CQ51" s="42"/>
      <c r="CR51" s="1">
        <f>IF(CR3-'Enter and Change Data Here'!$G$12&lt;='Enter and Change Data Here'!$G$26,'Enter and Change Data Here'!$O$30,0)</f>
        <v>0</v>
      </c>
      <c r="CS51" s="42"/>
      <c r="CT51" s="1">
        <f>IF(CT3-'Enter and Change Data Here'!$G$12&lt;='Enter and Change Data Here'!$G$26,'Enter and Change Data Here'!$O$30,0)</f>
        <v>0</v>
      </c>
      <c r="CU51" s="42"/>
      <c r="CV51" s="1">
        <f>IF(CV3-'Enter and Change Data Here'!$G$12&lt;='Enter and Change Data Here'!$G$26,'Enter and Change Data Here'!$O$30,0)</f>
        <v>0</v>
      </c>
      <c r="CW51" s="42"/>
      <c r="CX51" s="1">
        <f>IF(CX3-'Enter and Change Data Here'!$G$12&lt;='Enter and Change Data Here'!$G$26,'Enter and Change Data Here'!$O$30,0)</f>
        <v>0</v>
      </c>
      <c r="CY51" s="42"/>
      <c r="CZ51" s="1">
        <f>IF(CZ3-'Enter and Change Data Here'!$G$12&lt;='Enter and Change Data Here'!$G$26,'Enter and Change Data Here'!$O$30,0)</f>
        <v>0</v>
      </c>
      <c r="DA51" s="42"/>
      <c r="DB51" s="1">
        <f>IF(DB3-'Enter and Change Data Here'!$G$12&lt;='Enter and Change Data Here'!$G$26,'Enter and Change Data Here'!$O$30,0)</f>
        <v>0</v>
      </c>
      <c r="DC51" s="42"/>
      <c r="DD51" s="1">
        <f>IF(DD3-'Enter and Change Data Here'!$G$12&lt;='Enter and Change Data Here'!$G$26,'Enter and Change Data Here'!$O$30,0)</f>
        <v>0</v>
      </c>
      <c r="DE51" s="42"/>
      <c r="DF51" s="1">
        <f>IF(DF3-'Enter and Change Data Here'!$G$12&lt;='Enter and Change Data Here'!$G$26,'Enter and Change Data Here'!$O$30,0)</f>
        <v>0</v>
      </c>
      <c r="DG51" s="42"/>
    </row>
    <row r="52" spans="1:111" ht="12.75" customHeight="1">
      <c r="A52" s="2"/>
      <c r="B52" s="2"/>
      <c r="C52" s="2"/>
      <c r="D52" s="2" t="s">
        <v>67</v>
      </c>
      <c r="E52" s="2"/>
      <c r="G52" s="1">
        <f>'Enter and Change Data Here'!G10+'Enter and Change Data Here'!G9</f>
        <v>22000000</v>
      </c>
      <c r="I52" s="1"/>
      <c r="J52" s="1"/>
      <c r="K52" s="42"/>
      <c r="L52" s="1"/>
      <c r="M52" s="42"/>
      <c r="N52" s="1"/>
      <c r="O52" s="42"/>
      <c r="P52" s="1"/>
      <c r="Q52" s="42"/>
      <c r="R52" s="1"/>
      <c r="S52" s="42"/>
      <c r="T52" s="1"/>
      <c r="U52" s="42"/>
      <c r="V52" s="1"/>
      <c r="W52" s="42"/>
      <c r="X52" s="1"/>
      <c r="Y52" s="42"/>
      <c r="Z52" s="1"/>
      <c r="AA52" s="42"/>
      <c r="AB52" s="1"/>
      <c r="AC52" s="42"/>
      <c r="AD52" s="1"/>
      <c r="AE52" s="42"/>
      <c r="AF52" s="1"/>
      <c r="AG52" s="42"/>
      <c r="AH52" s="1"/>
      <c r="AI52" s="42"/>
      <c r="AJ52" s="1"/>
      <c r="AK52" s="42"/>
      <c r="AL52" s="1"/>
      <c r="AM52" s="42"/>
      <c r="AN52" s="1"/>
      <c r="AO52" s="42"/>
      <c r="AP52" s="1"/>
      <c r="AQ52" s="42"/>
      <c r="AR52" s="1"/>
      <c r="AS52" s="42"/>
      <c r="AT52" s="1"/>
      <c r="AU52" s="42"/>
      <c r="AV52" s="1"/>
      <c r="AW52" s="42"/>
      <c r="AX52" s="1"/>
      <c r="AY52" s="42"/>
      <c r="AZ52" s="1"/>
      <c r="BA52" s="42"/>
      <c r="BB52" s="1"/>
      <c r="BC52" s="42"/>
      <c r="BD52" s="1"/>
      <c r="BE52" s="42"/>
      <c r="BF52" s="1"/>
      <c r="BG52" s="42"/>
      <c r="BH52" s="1"/>
      <c r="BI52" s="42"/>
      <c r="BJ52" s="1"/>
      <c r="BK52" s="42"/>
      <c r="BL52" s="1"/>
      <c r="BM52" s="42"/>
      <c r="BN52" s="1"/>
      <c r="BO52" s="42"/>
      <c r="BP52" s="1"/>
      <c r="BQ52" s="42"/>
      <c r="BR52" s="1"/>
      <c r="BS52" s="42"/>
      <c r="BT52" s="1"/>
      <c r="BU52" s="42"/>
      <c r="BV52" s="1"/>
      <c r="BW52" s="42"/>
      <c r="BX52" s="1"/>
      <c r="BY52" s="42"/>
      <c r="BZ52" s="1"/>
      <c r="CA52" s="42"/>
      <c r="CB52" s="1"/>
      <c r="CC52" s="42"/>
      <c r="CD52" s="1"/>
      <c r="CE52" s="42"/>
      <c r="CF52" s="1"/>
      <c r="CG52" s="42"/>
      <c r="CH52" s="1"/>
      <c r="CI52" s="42"/>
      <c r="CJ52" s="1"/>
      <c r="CK52" s="42"/>
      <c r="CL52" s="1"/>
      <c r="CM52" s="42"/>
      <c r="CN52" s="1"/>
      <c r="CO52" s="42"/>
      <c r="CP52" s="1"/>
      <c r="CQ52" s="42"/>
      <c r="CR52" s="1"/>
      <c r="CS52" s="42"/>
      <c r="CT52" s="1"/>
      <c r="CU52" s="42"/>
      <c r="CV52" s="1"/>
      <c r="CW52" s="42"/>
      <c r="CX52" s="1"/>
      <c r="CY52" s="42"/>
      <c r="CZ52" s="1"/>
      <c r="DA52" s="42"/>
      <c r="DB52" s="1"/>
      <c r="DC52" s="42"/>
      <c r="DD52" s="1"/>
      <c r="DE52" s="42"/>
      <c r="DF52" s="1"/>
      <c r="DG52" s="42"/>
    </row>
    <row r="53" spans="1:111" ht="12.75" customHeight="1">
      <c r="A53" s="2"/>
      <c r="B53" s="2"/>
      <c r="C53" s="2" t="s">
        <v>68</v>
      </c>
      <c r="D53" s="2"/>
      <c r="E53" s="2"/>
      <c r="J53" s="1">
        <f>IF(J3-'Enter and Change Data Here'!$G$12&lt;='Enter and Change Data Here'!$G$26,F53+'Cash Flow'!I40+J74,0)</f>
        <v>-1800000</v>
      </c>
      <c r="K53" s="42"/>
      <c r="L53" s="1">
        <f>IF(L3-'Enter and Change Data Here'!$G$12&lt;='Enter and Change Data Here'!$G$26,J53+'Cash Flow'!K40+L74,0)</f>
        <v>395910.7728815926</v>
      </c>
      <c r="M53" s="42"/>
      <c r="N53" s="1">
        <f>IF(N3-'Enter and Change Data Here'!$G$12&lt;='Enter and Change Data Here'!$G$26,L53+'Cash Flow'!M40+N74,0)</f>
        <v>3822631.7601422244</v>
      </c>
      <c r="O53" s="42"/>
      <c r="P53" s="1">
        <f>IF(P3-'Enter and Change Data Here'!$G$12&lt;='Enter and Change Data Here'!$G$26,N53+'Cash Flow'!O40+P74,0)</f>
        <v>7996831.4110281635</v>
      </c>
      <c r="Q53" s="42"/>
      <c r="R53" s="1">
        <f>IF(R3-'Enter and Change Data Here'!$G$12&lt;='Enter and Change Data Here'!$G$26,P53+'Cash Flow'!Q40+R74,0)</f>
        <v>12410113.228025766</v>
      </c>
      <c r="S53" s="42"/>
      <c r="T53" s="1">
        <f>IF(T3-'Enter and Change Data Here'!$G$12&lt;='Enter and Change Data Here'!$G$26,R53+'Cash Flow'!S40+T74,0)</f>
        <v>17070787.664411083</v>
      </c>
      <c r="U53" s="42"/>
      <c r="V53" s="1">
        <f>IF(V3-'Enter and Change Data Here'!$G$12&lt;='Enter and Change Data Here'!$G$26,T53+'Cash Flow'!U40+V74,0)</f>
        <v>21987621.310457483</v>
      </c>
      <c r="W53" s="42"/>
      <c r="X53" s="1">
        <f>IF(X3-'Enter and Change Data Here'!$G$12&lt;='Enter and Change Data Here'!$G$26,V53+'Cash Flow'!W40+X74,0)</f>
        <v>27169872.407389298</v>
      </c>
      <c r="Y53" s="42"/>
      <c r="Z53" s="1">
        <f>IF(Z3-'Enter and Change Data Here'!$G$12&lt;='Enter and Change Data Here'!$G$26,X53+'Cash Flow'!Y40+Z74,0)</f>
        <v>32627329.46128969</v>
      </c>
      <c r="AA53" s="42"/>
      <c r="AB53" s="1">
        <f>IF(AB3-'Enter and Change Data Here'!$G$12&lt;='Enter and Change Data Here'!$G$26,Z53+'Cash Flow'!AA40+AB74,0)</f>
        <v>38367295.95464507</v>
      </c>
      <c r="AC53" s="42"/>
      <c r="AD53" s="1">
        <f>IF(AD3-'Enter and Change Data Here'!$G$12&lt;='Enter and Change Data Here'!$G$26,AB53+'Cash Flow'!AC40+AD74,0)</f>
        <v>44336330.19950882</v>
      </c>
      <c r="AE53" s="42"/>
      <c r="AF53" s="1">
        <f>IF(AF3-'Enter and Change Data Here'!$G$12&lt;='Enter and Change Data Here'!$G$26,AD53+'Cash Flow'!AE40+AF74,0)</f>
        <v>50542896.397939935</v>
      </c>
      <c r="AG53" s="42"/>
      <c r="AH53" s="1">
        <f>IF(AH3-'Enter and Change Data Here'!$G$12&lt;='Enter and Change Data Here'!$G$26,AF53+'Cash Flow'!AG40+AH74,0)</f>
        <v>56996049.05325137</v>
      </c>
      <c r="AI53" s="42"/>
      <c r="AJ53" s="1">
        <f>IF(AJ3-'Enter and Change Data Here'!$G$12&lt;='Enter and Change Data Here'!$G$26,AH53+'Cash Flow'!AI40+AJ74,0)</f>
        <v>63705484.429670185</v>
      </c>
      <c r="AK53" s="42"/>
      <c r="AL53" s="1">
        <f>IF(AL3-'Enter and Change Data Here'!$G$12&lt;='Enter and Change Data Here'!$G$26,AJ53+'Cash Flow'!AK40+AL74,0)</f>
        <v>70681596.64019647</v>
      </c>
      <c r="AM53" s="42"/>
      <c r="AN53" s="1">
        <f>IF(AN3-'Enter and Change Data Here'!$G$12&lt;='Enter and Change Data Here'!$G$26,AL53+'Cash Flow'!AM40+AN74,0)</f>
        <v>77935538.77958822</v>
      </c>
      <c r="AO53" s="42"/>
      <c r="AP53" s="1">
        <f>IF(AP3-'Enter and Change Data Here'!$G$12&lt;='Enter and Change Data Here'!$G$26,AN53+'Cash Flow'!AO40+AP74,0)</f>
        <v>85479289.55693664</v>
      </c>
      <c r="AQ53" s="42"/>
      <c r="AR53" s="1">
        <f>IF(AR3-'Enter and Change Data Here'!$G$12&lt;='Enter and Change Data Here'!$G$26,AP53+'Cash Flow'!AQ40+AR74,0)</f>
        <v>93325725.92321259</v>
      </c>
      <c r="AS53" s="42"/>
      <c r="AT53" s="1">
        <f>IF(AT3-'Enter and Change Data Here'!$G$12&lt;='Enter and Change Data Here'!$G$26,AR53+'Cash Flow'!AS40+AT74,0)</f>
        <v>101488702.23376422</v>
      </c>
      <c r="AU53" s="42"/>
      <c r="AV53" s="1">
        <f>IF(AV3-'Enter and Change Data Here'!$G$12&lt;='Enter and Change Data Here'!$G$26,AT53+'Cash Flow'!AU40+AV74,0)</f>
        <v>109983136.53435907</v>
      </c>
      <c r="AW53" s="42"/>
      <c r="AX53" s="1">
        <f>IF(AX3-'Enter and Change Data Here'!$G$12&lt;='Enter and Change Data Here'!$G$26,AV53+'Cash Flow'!AW40+AX74,0)</f>
        <v>118825104.61235313</v>
      </c>
      <c r="AY53" s="42"/>
      <c r="AZ53" s="1">
        <f>IF(AZ3-'Enter and Change Data Here'!$G$12&lt;='Enter and Change Data Here'!$G$26,AX53+'Cash Flow'!AY40+AZ74,0)</f>
        <v>130719039.96995449</v>
      </c>
      <c r="BA53" s="42"/>
      <c r="BB53" s="1">
        <f>IF(BB3-'Enter and Change Data Here'!$G$12&lt;='Enter and Change Data Here'!$G$26,AZ53+'Cash Flow'!BA40+BB74,0)</f>
        <v>142824348.92011216</v>
      </c>
      <c r="BC53" s="42"/>
      <c r="BD53" s="1">
        <f>IF(BD3-'Enter and Change Data Here'!$G$12&lt;='Enter and Change Data Here'!$G$26,BB53+'Cash Flow'!BC40+BD74,0)</f>
        <v>155143668.47084233</v>
      </c>
      <c r="BE53" s="42"/>
      <c r="BF53" s="1">
        <f>IF(BF3-'Enter and Change Data Here'!$G$12&lt;='Enter and Change Data Here'!$G$26,BD53+'Cash Flow'!BE40+BF74,0)</f>
        <v>167679656.56073081</v>
      </c>
      <c r="BG53" s="42"/>
      <c r="BH53" s="1">
        <f>IF(BH3-'Enter and Change Data Here'!$G$12&lt;='Enter and Change Data Here'!$G$26,BF53+'Cash Flow'!BG40+BH74,0)</f>
        <v>180434991.96858925</v>
      </c>
      <c r="BI53" s="42"/>
      <c r="BJ53" s="1">
        <f>IF(BJ3-'Enter and Change Data Here'!$G$12&lt;='Enter and Change Data Here'!$G$26,BH53+'Cash Flow'!BI40+BJ74,0)</f>
        <v>0</v>
      </c>
      <c r="BK53" s="42"/>
      <c r="BL53" s="1">
        <f>IF(BL3-'Enter and Change Data Here'!$G$12&lt;='Enter and Change Data Here'!$G$26,BJ53+'Cash Flow'!BK40+BL74,0)</f>
        <v>0</v>
      </c>
      <c r="BM53" s="42"/>
      <c r="BN53" s="1">
        <f>IF(BN3-'Enter and Change Data Here'!$G$12&lt;='Enter and Change Data Here'!$G$26,BL53+'Cash Flow'!BM40+BN74,0)</f>
        <v>0</v>
      </c>
      <c r="BO53" s="42"/>
      <c r="BP53" s="1">
        <f>IF(BP3-'Enter and Change Data Here'!$G$12&lt;='Enter and Change Data Here'!$G$26,BN53+'Cash Flow'!BO40+BP74,0)</f>
        <v>0</v>
      </c>
      <c r="BQ53" s="42"/>
      <c r="BR53" s="1">
        <f>IF(BR3-'Enter and Change Data Here'!$G$12&lt;='Enter and Change Data Here'!$G$26,BP53+'Cash Flow'!BQ40+BR74,0)</f>
        <v>0</v>
      </c>
      <c r="BS53" s="42"/>
      <c r="BT53" s="1">
        <f>IF(BT3-'Enter and Change Data Here'!$G$12&lt;='Enter and Change Data Here'!$G$26,BR53+'Cash Flow'!BS40+BT74,0)</f>
        <v>0</v>
      </c>
      <c r="BU53" s="42"/>
      <c r="BV53" s="1">
        <f>IF(BV3-'Enter and Change Data Here'!$G$12&lt;='Enter and Change Data Here'!$G$26,BT53+'Cash Flow'!BU40+BV74,0)</f>
        <v>0</v>
      </c>
      <c r="BW53" s="42"/>
      <c r="BX53" s="1">
        <f>IF(BX3-'Enter and Change Data Here'!$G$12&lt;='Enter and Change Data Here'!$G$26,BV53+'Cash Flow'!BW40+BX74,0)</f>
        <v>0</v>
      </c>
      <c r="BY53" s="42"/>
      <c r="BZ53" s="1">
        <f>IF(BZ3-'Enter and Change Data Here'!$G$12&lt;='Enter and Change Data Here'!$G$26,BX53+'Cash Flow'!BY40+BZ74,0)</f>
        <v>0</v>
      </c>
      <c r="CA53" s="42"/>
      <c r="CB53" s="1">
        <f>IF(CB3-'Enter and Change Data Here'!$G$12&lt;='Enter and Change Data Here'!$G$26,BZ53+'Cash Flow'!CA40+CB74,0)</f>
        <v>0</v>
      </c>
      <c r="CC53" s="42"/>
      <c r="CD53" s="1">
        <f>IF(CD3-'Enter and Change Data Here'!$G$12&lt;='Enter and Change Data Here'!$G$26,CB53+'Cash Flow'!CC40+CD74,0)</f>
        <v>0</v>
      </c>
      <c r="CE53" s="42"/>
      <c r="CF53" s="1">
        <f>IF(CF3-'Enter and Change Data Here'!$G$12&lt;='Enter and Change Data Here'!$G$26,CD53+'Cash Flow'!CE40+CF74,0)</f>
        <v>0</v>
      </c>
      <c r="CG53" s="42"/>
      <c r="CH53" s="1">
        <f>IF(CH3-'Enter and Change Data Here'!$G$12&lt;='Enter and Change Data Here'!$G$26,CF53+'Cash Flow'!CG40+CH74,0)</f>
        <v>0</v>
      </c>
      <c r="CI53" s="42"/>
      <c r="CJ53" s="1">
        <f>IF(CJ3-'Enter and Change Data Here'!$G$12&lt;='Enter and Change Data Here'!$G$26,CH53+'Cash Flow'!CI40+CJ74,0)</f>
        <v>0</v>
      </c>
      <c r="CK53" s="42"/>
      <c r="CL53" s="1">
        <f>IF(CL3-'Enter and Change Data Here'!$G$12&lt;='Enter and Change Data Here'!$G$26,CJ53+'Cash Flow'!CK40+CL74,0)</f>
        <v>0</v>
      </c>
      <c r="CM53" s="42"/>
      <c r="CN53" s="1">
        <f>IF(CN3-'Enter and Change Data Here'!$G$12&lt;='Enter and Change Data Here'!$G$26,CL53+'Cash Flow'!CM40+CN74,0)</f>
        <v>0</v>
      </c>
      <c r="CO53" s="42"/>
      <c r="CP53" s="1">
        <f>IF(CP3-'Enter and Change Data Here'!$G$12&lt;='Enter and Change Data Here'!$G$26,CN53+'Cash Flow'!CO40+CP74,0)</f>
        <v>0</v>
      </c>
      <c r="CQ53" s="42"/>
      <c r="CR53" s="1">
        <f>IF(CR3-'Enter and Change Data Here'!$G$12&lt;='Enter and Change Data Here'!$G$26,CP53+'Cash Flow'!CQ40+CR74,0)</f>
        <v>0</v>
      </c>
      <c r="CS53" s="42"/>
      <c r="CT53" s="1">
        <f>IF(CT3-'Enter and Change Data Here'!$G$12&lt;='Enter and Change Data Here'!$G$26,CR53+'Cash Flow'!CS40+CT74,0)</f>
        <v>0</v>
      </c>
      <c r="CU53" s="42"/>
      <c r="CV53" s="1">
        <f>IF(CV3-'Enter and Change Data Here'!$G$12&lt;='Enter and Change Data Here'!$G$26,CT53+'Cash Flow'!CU40+CV74,0)</f>
        <v>0</v>
      </c>
      <c r="CW53" s="42"/>
      <c r="CX53" s="1">
        <f>IF(CX3-'Enter and Change Data Here'!$G$12&lt;='Enter and Change Data Here'!$G$26,CV53+'Cash Flow'!CW40+CX74,0)</f>
        <v>0</v>
      </c>
      <c r="CY53" s="42"/>
      <c r="CZ53" s="1">
        <f>IF(CZ3-'Enter and Change Data Here'!$G$12&lt;='Enter and Change Data Here'!$G$26,CX53+'Cash Flow'!CY40+CZ74,0)</f>
        <v>0</v>
      </c>
      <c r="DA53" s="42"/>
      <c r="DB53" s="1">
        <f>IF(DB3-'Enter and Change Data Here'!$G$12&lt;='Enter and Change Data Here'!$G$26,CZ53+'Cash Flow'!DA40+DB74,0)</f>
        <v>0</v>
      </c>
      <c r="DC53" s="42"/>
      <c r="DD53" s="1">
        <f>IF(DD3-'Enter and Change Data Here'!$G$12&lt;='Enter and Change Data Here'!$G$26,DB53+'Cash Flow'!DC40+DD74,0)</f>
        <v>0</v>
      </c>
      <c r="DE53" s="42"/>
      <c r="DF53" s="1">
        <f>IF(DF3-'Enter and Change Data Here'!$G$12&lt;='Enter and Change Data Here'!$G$26,DD53+'Cash Flow'!DE40+DF74,0)</f>
        <v>0</v>
      </c>
      <c r="DG53" s="42"/>
    </row>
    <row r="54" spans="1:111" ht="12.75" customHeight="1" thickBot="1">
      <c r="A54" s="2"/>
      <c r="B54" s="2"/>
      <c r="C54" s="2"/>
      <c r="D54" s="2"/>
      <c r="E54" s="2"/>
      <c r="J54" s="1"/>
      <c r="K54" s="44"/>
      <c r="L54" s="1"/>
      <c r="M54" s="44"/>
      <c r="N54" s="1"/>
      <c r="O54" s="44"/>
      <c r="P54" s="1"/>
      <c r="Q54" s="44"/>
      <c r="R54" s="1"/>
      <c r="S54" s="44"/>
      <c r="T54" s="1"/>
      <c r="U54" s="44"/>
      <c r="V54" s="1"/>
      <c r="W54" s="44"/>
      <c r="X54" s="1"/>
      <c r="Y54" s="44"/>
      <c r="Z54" s="1"/>
      <c r="AA54" s="44"/>
      <c r="AB54" s="1"/>
      <c r="AC54" s="44"/>
      <c r="AD54" s="1"/>
      <c r="AE54" s="44"/>
      <c r="AF54" s="1"/>
      <c r="AG54" s="44"/>
      <c r="AH54" s="1"/>
      <c r="AI54" s="44"/>
      <c r="AJ54" s="1"/>
      <c r="AK54" s="44"/>
      <c r="AL54" s="1"/>
      <c r="AM54" s="44"/>
      <c r="AN54" s="1"/>
      <c r="AO54" s="44"/>
      <c r="AP54" s="1"/>
      <c r="AQ54" s="44"/>
      <c r="AR54" s="1"/>
      <c r="AS54" s="44"/>
      <c r="AT54" s="1"/>
      <c r="AU54" s="44"/>
      <c r="AV54" s="1"/>
      <c r="AW54" s="44"/>
      <c r="AX54" s="1"/>
      <c r="AY54" s="44"/>
      <c r="AZ54" s="1"/>
      <c r="BA54" s="44"/>
      <c r="BB54" s="1"/>
      <c r="BC54" s="44"/>
      <c r="BD54" s="1"/>
      <c r="BE54" s="44"/>
      <c r="BF54" s="1"/>
      <c r="BG54" s="44"/>
      <c r="BH54" s="1"/>
      <c r="BI54" s="44"/>
      <c r="BJ54" s="1"/>
      <c r="BK54" s="44"/>
      <c r="BL54" s="1"/>
      <c r="BM54" s="44"/>
      <c r="BN54" s="1"/>
      <c r="BO54" s="44"/>
      <c r="BP54" s="1"/>
      <c r="BQ54" s="44"/>
      <c r="BR54" s="1"/>
      <c r="BS54" s="44"/>
      <c r="BT54" s="1"/>
      <c r="BU54" s="44"/>
      <c r="BV54" s="1"/>
      <c r="BW54" s="44"/>
      <c r="BX54" s="1"/>
      <c r="BY54" s="44"/>
      <c r="BZ54" s="1"/>
      <c r="CA54" s="44"/>
      <c r="CB54" s="1"/>
      <c r="CC54" s="44"/>
      <c r="CD54" s="1"/>
      <c r="CE54" s="44"/>
      <c r="CF54" s="1"/>
      <c r="CG54" s="44"/>
      <c r="CH54" s="1"/>
      <c r="CI54" s="44"/>
      <c r="CJ54" s="1"/>
      <c r="CK54" s="44"/>
      <c r="CL54" s="1"/>
      <c r="CM54" s="44"/>
      <c r="CN54" s="1"/>
      <c r="CO54" s="44"/>
      <c r="CP54" s="1"/>
      <c r="CQ54" s="44"/>
      <c r="CR54" s="1"/>
      <c r="CS54" s="44"/>
      <c r="CT54" s="1"/>
      <c r="CU54" s="44"/>
      <c r="CV54" s="1"/>
      <c r="CW54" s="44"/>
      <c r="CX54" s="1"/>
      <c r="CY54" s="44"/>
      <c r="CZ54" s="1"/>
      <c r="DA54" s="44"/>
      <c r="DB54" s="1"/>
      <c r="DC54" s="44"/>
      <c r="DD54" s="1"/>
      <c r="DE54" s="44"/>
      <c r="DF54" s="1"/>
      <c r="DG54" s="44"/>
    </row>
    <row r="55" spans="1:111" ht="12.75" customHeight="1">
      <c r="A55" s="2"/>
      <c r="B55" s="2"/>
      <c r="C55" s="12" t="s">
        <v>69</v>
      </c>
      <c r="D55" s="12"/>
      <c r="E55" s="12"/>
      <c r="J55" s="61">
        <f>SUM(J47:J53)</f>
        <v>90569915.2542373</v>
      </c>
      <c r="K55" s="2"/>
      <c r="L55" s="61">
        <f>SUM(L47:L53)</f>
        <v>93498181.73835728</v>
      </c>
      <c r="M55" s="2"/>
      <c r="N55" s="61">
        <f>SUM(N47:N53)</f>
        <v>98411955.94741386</v>
      </c>
      <c r="O55" s="2"/>
      <c r="P55" s="61">
        <f>SUM(P47:P53)</f>
        <v>104499759.45990583</v>
      </c>
      <c r="Q55" s="2"/>
      <c r="R55" s="61">
        <f>SUM(R47:R53)</f>
        <v>110907805.61774188</v>
      </c>
      <c r="S55" s="2"/>
      <c r="T55" s="61">
        <f>SUM(T47:T53)</f>
        <v>117642904.68954729</v>
      </c>
      <c r="U55" s="2"/>
      <c r="V55" s="61">
        <f>SUM(V47:V53)</f>
        <v>124711993.52845941</v>
      </c>
      <c r="W55" s="2"/>
      <c r="X55" s="61">
        <f>SUM(X47:X53)</f>
        <v>132122137.73410903</v>
      </c>
      <c r="Y55" s="2"/>
      <c r="Z55" s="61">
        <f>SUM(Z47:Z53)</f>
        <v>139625760.53549784</v>
      </c>
      <c r="AA55" s="2"/>
      <c r="AB55" s="61">
        <f>SUM(AB47:AB53)</f>
        <v>142116600.17405844</v>
      </c>
      <c r="AC55" s="2"/>
      <c r="AD55" s="61">
        <f>SUM(AD47:AD53)</f>
        <v>144705311.99465352</v>
      </c>
      <c r="AE55" s="2"/>
      <c r="AF55" s="61">
        <f>SUM(AF47:AF53)</f>
        <v>147388552.59808946</v>
      </c>
      <c r="AG55" s="2"/>
      <c r="AH55" s="61">
        <f>SUM(AH47:AH53)</f>
        <v>150162506.20231378</v>
      </c>
      <c r="AI55" s="2"/>
      <c r="AJ55" s="61">
        <f>SUM(AJ47:AJ53)</f>
        <v>153022840.46050528</v>
      </c>
      <c r="AK55" s="2"/>
      <c r="AL55" s="61">
        <f>SUM(AL47:AL53)</f>
        <v>155964658.29962146</v>
      </c>
      <c r="AM55" s="2"/>
      <c r="AN55" s="61">
        <f>SUM(AN47:AN53)</f>
        <v>158982445.42163384</v>
      </c>
      <c r="AO55" s="2"/>
      <c r="AP55" s="61">
        <f>SUM(AP47:AP53)</f>
        <v>162070013.0774964</v>
      </c>
      <c r="AQ55" s="2"/>
      <c r="AR55" s="61">
        <f>SUM(AR47:AR53)</f>
        <v>165220435.6888104</v>
      </c>
      <c r="AS55" s="2"/>
      <c r="AT55" s="61">
        <f>SUM(AT47:AT53)</f>
        <v>168425982.85391116</v>
      </c>
      <c r="AU55" s="2"/>
      <c r="AV55" s="61">
        <f>SUM(AV47:AV53)</f>
        <v>171678045.23342222</v>
      </c>
      <c r="AW55" s="2"/>
      <c r="AX55" s="61">
        <f>SUM(AX47:AX53)</f>
        <v>174967053.76489252</v>
      </c>
      <c r="AY55" s="2"/>
      <c r="AZ55" s="61">
        <f>SUM(AZ47:AZ53)</f>
        <v>186860989.12249386</v>
      </c>
      <c r="BA55" s="2"/>
      <c r="BB55" s="61">
        <f>SUM(BB47:BB53)</f>
        <v>198966298.07265154</v>
      </c>
      <c r="BC55" s="2"/>
      <c r="BD55" s="61">
        <f>SUM(BD47:BD53)</f>
        <v>211285617.6233817</v>
      </c>
      <c r="BE55" s="2"/>
      <c r="BF55" s="61">
        <f>SUM(BF47:BF53)</f>
        <v>223821605.7132702</v>
      </c>
      <c r="BG55" s="2"/>
      <c r="BH55" s="61">
        <f>SUM(BH47:BH53)</f>
        <v>236576941.12112862</v>
      </c>
      <c r="BI55" s="2"/>
      <c r="BJ55" s="61">
        <f>SUM(BJ47:BJ53)</f>
        <v>0</v>
      </c>
      <c r="BK55" s="2"/>
      <c r="BL55" s="61">
        <f>SUM(BL47:BL53)</f>
        <v>0</v>
      </c>
      <c r="BM55" s="2"/>
      <c r="BN55" s="61">
        <f>SUM(BN47:BN53)</f>
        <v>0</v>
      </c>
      <c r="BO55" s="2"/>
      <c r="BP55" s="61">
        <f>SUM(BP47:BP53)</f>
        <v>0</v>
      </c>
      <c r="BQ55" s="2"/>
      <c r="BR55" s="61">
        <f>SUM(BR47:BR53)</f>
        <v>0</v>
      </c>
      <c r="BS55" s="2"/>
      <c r="BT55" s="61">
        <f>SUM(BT47:BT53)</f>
        <v>0</v>
      </c>
      <c r="BU55" s="2"/>
      <c r="BV55" s="61">
        <f>SUM(BV47:BV53)</f>
        <v>0</v>
      </c>
      <c r="BW55" s="2"/>
      <c r="BX55" s="61">
        <f>SUM(BX47:BX53)</f>
        <v>0</v>
      </c>
      <c r="BY55" s="2"/>
      <c r="BZ55" s="61">
        <f>SUM(BZ47:BZ53)</f>
        <v>0</v>
      </c>
      <c r="CA55" s="2"/>
      <c r="CB55" s="61">
        <f>SUM(CB47:CB53)</f>
        <v>0</v>
      </c>
      <c r="CC55" s="2"/>
      <c r="CD55" s="61">
        <f>SUM(CD47:CD53)</f>
        <v>0</v>
      </c>
      <c r="CE55" s="2"/>
      <c r="CF55" s="61">
        <f>SUM(CF47:CF53)</f>
        <v>0</v>
      </c>
      <c r="CG55" s="2"/>
      <c r="CH55" s="61">
        <f>SUM(CH47:CH53)</f>
        <v>0</v>
      </c>
      <c r="CI55" s="2"/>
      <c r="CJ55" s="61">
        <f>SUM(CJ47:CJ53)</f>
        <v>0</v>
      </c>
      <c r="CK55" s="2"/>
      <c r="CL55" s="61">
        <f>SUM(CL47:CL53)</f>
        <v>0</v>
      </c>
      <c r="CM55" s="2"/>
      <c r="CN55" s="61">
        <f>SUM(CN47:CN53)</f>
        <v>0</v>
      </c>
      <c r="CO55" s="2"/>
      <c r="CP55" s="61">
        <f>SUM(CP47:CP53)</f>
        <v>0</v>
      </c>
      <c r="CQ55" s="2"/>
      <c r="CR55" s="61">
        <f>SUM(CR47:CR53)</f>
        <v>0</v>
      </c>
      <c r="CS55" s="2"/>
      <c r="CT55" s="61">
        <f>SUM(CT47:CT53)</f>
        <v>0</v>
      </c>
      <c r="CU55" s="2"/>
      <c r="CV55" s="61">
        <f>SUM(CV47:CV53)</f>
        <v>0</v>
      </c>
      <c r="CW55" s="2"/>
      <c r="CX55" s="61">
        <f>SUM(CX47:CX53)</f>
        <v>0</v>
      </c>
      <c r="CY55" s="2"/>
      <c r="CZ55" s="61">
        <f>SUM(CZ47:CZ53)</f>
        <v>0</v>
      </c>
      <c r="DA55" s="2"/>
      <c r="DB55" s="61">
        <f>SUM(DB47:DB53)</f>
        <v>0</v>
      </c>
      <c r="DC55" s="2"/>
      <c r="DD55" s="61">
        <f>SUM(DD47:DD53)</f>
        <v>0</v>
      </c>
      <c r="DE55" s="2"/>
      <c r="DF55" s="61">
        <f>SUM(DF47:DF53)</f>
        <v>0</v>
      </c>
      <c r="DG55" s="2"/>
    </row>
    <row r="56" spans="1:111" ht="12.75" customHeight="1" thickBot="1">
      <c r="A56" s="131"/>
      <c r="B56" s="131"/>
      <c r="C56" s="131"/>
      <c r="D56" s="131"/>
      <c r="E56" s="131"/>
      <c r="F56" s="131"/>
      <c r="G56" s="131"/>
      <c r="H56" s="131"/>
      <c r="I56" s="131"/>
      <c r="J56" s="132"/>
      <c r="K56" s="131"/>
      <c r="L56" s="132"/>
      <c r="M56" s="131"/>
      <c r="N56" s="132"/>
      <c r="O56" s="131"/>
      <c r="P56" s="132"/>
      <c r="Q56" s="131"/>
      <c r="R56" s="132"/>
      <c r="S56" s="131"/>
      <c r="T56" s="132"/>
      <c r="U56" s="131"/>
      <c r="V56" s="132"/>
      <c r="W56" s="131"/>
      <c r="X56" s="132"/>
      <c r="Y56" s="131"/>
      <c r="Z56" s="132"/>
      <c r="AA56" s="131"/>
      <c r="AB56" s="132"/>
      <c r="AC56" s="131"/>
      <c r="AD56" s="132"/>
      <c r="AE56" s="131"/>
      <c r="AF56" s="132"/>
      <c r="AG56" s="131"/>
      <c r="AH56" s="132"/>
      <c r="AI56" s="131"/>
      <c r="AJ56" s="132"/>
      <c r="AK56" s="131"/>
      <c r="AL56" s="132"/>
      <c r="AM56" s="131"/>
      <c r="AN56" s="132"/>
      <c r="AO56" s="131"/>
      <c r="AP56" s="132"/>
      <c r="AQ56" s="131"/>
      <c r="AR56" s="132"/>
      <c r="AS56" s="131"/>
      <c r="AT56" s="132"/>
      <c r="AU56" s="131"/>
      <c r="AV56" s="132"/>
      <c r="AW56" s="131"/>
      <c r="AX56" s="132"/>
      <c r="AY56" s="131"/>
      <c r="AZ56" s="132"/>
      <c r="BA56" s="131"/>
      <c r="BB56" s="132"/>
      <c r="BC56" s="131"/>
      <c r="BD56" s="132"/>
      <c r="BE56" s="131"/>
      <c r="BF56" s="132"/>
      <c r="BG56" s="131"/>
      <c r="BH56" s="132"/>
      <c r="BI56" s="131"/>
      <c r="BJ56" s="132"/>
      <c r="BK56" s="131"/>
      <c r="BL56" s="132"/>
      <c r="BM56" s="131"/>
      <c r="BN56" s="132"/>
      <c r="BO56" s="131"/>
      <c r="BP56" s="132"/>
      <c r="BQ56" s="131"/>
      <c r="BR56" s="132"/>
      <c r="BS56" s="131"/>
      <c r="BT56" s="132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1"/>
      <c r="CF56" s="132"/>
      <c r="CG56" s="131"/>
      <c r="CH56" s="132"/>
      <c r="CI56" s="131"/>
      <c r="CJ56" s="132"/>
      <c r="CK56" s="131"/>
      <c r="CL56" s="132"/>
      <c r="CM56" s="131"/>
      <c r="CN56" s="132"/>
      <c r="CO56" s="131"/>
      <c r="CP56" s="132"/>
      <c r="CQ56" s="131"/>
      <c r="CR56" s="132"/>
      <c r="CS56" s="131"/>
      <c r="CT56" s="132"/>
      <c r="CU56" s="131"/>
      <c r="CV56" s="132"/>
      <c r="CW56" s="131"/>
      <c r="CX56" s="132"/>
      <c r="CY56" s="131"/>
      <c r="CZ56" s="132"/>
      <c r="DA56" s="131"/>
      <c r="DB56" s="132"/>
      <c r="DC56" s="131"/>
      <c r="DD56" s="132"/>
      <c r="DE56" s="131"/>
      <c r="DF56" s="132"/>
      <c r="DG56" s="131"/>
    </row>
    <row r="57" spans="1:111" ht="12.75" customHeight="1" thickTop="1">
      <c r="A57" s="2"/>
      <c r="B57" s="2"/>
      <c r="C57" s="2"/>
      <c r="D57" s="2"/>
      <c r="E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1"/>
      <c r="U57" s="2"/>
      <c r="V57" s="1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2"/>
      <c r="AZ57" s="1"/>
      <c r="BA57" s="2"/>
      <c r="BB57" s="1"/>
      <c r="BC57" s="2"/>
      <c r="BD57" s="1"/>
      <c r="BE57" s="2"/>
      <c r="BF57" s="1"/>
      <c r="BG57" s="2"/>
      <c r="BH57" s="1"/>
      <c r="BI57" s="2"/>
      <c r="BJ57" s="1"/>
      <c r="BK57" s="2"/>
      <c r="BL57" s="1"/>
      <c r="BM57" s="2"/>
      <c r="BN57" s="1"/>
      <c r="BO57" s="2"/>
      <c r="BP57" s="1"/>
      <c r="BQ57" s="2"/>
      <c r="BR57" s="1"/>
      <c r="BS57" s="2"/>
      <c r="BT57" s="1"/>
      <c r="BU57" s="2"/>
      <c r="BV57" s="1"/>
      <c r="BW57" s="2"/>
      <c r="BX57" s="1"/>
      <c r="BY57" s="2"/>
      <c r="BZ57" s="1"/>
      <c r="CA57" s="2"/>
      <c r="CB57" s="1"/>
      <c r="CC57" s="2"/>
      <c r="CD57" s="1"/>
      <c r="CE57" s="2"/>
      <c r="CF57" s="1"/>
      <c r="CG57" s="2"/>
      <c r="CH57" s="1"/>
      <c r="CI57" s="2"/>
      <c r="CJ57" s="1"/>
      <c r="CK57" s="2"/>
      <c r="CL57" s="1"/>
      <c r="CM57" s="2"/>
      <c r="CN57" s="1"/>
      <c r="CO57" s="2"/>
      <c r="CP57" s="1"/>
      <c r="CQ57" s="2"/>
      <c r="CR57" s="1"/>
      <c r="CS57" s="2"/>
      <c r="CT57" s="1"/>
      <c r="CU57" s="2"/>
      <c r="CV57" s="1"/>
      <c r="CW57" s="2"/>
      <c r="CX57" s="1"/>
      <c r="CY57" s="2"/>
      <c r="CZ57" s="1"/>
      <c r="DA57" s="2"/>
      <c r="DB57" s="1"/>
      <c r="DC57" s="2"/>
      <c r="DD57" s="1"/>
      <c r="DE57" s="2"/>
      <c r="DF57" s="1"/>
      <c r="DG57" s="2"/>
    </row>
    <row r="58" spans="2:9" s="13" customFormat="1" ht="12.75" customHeight="1" collapsed="1">
      <c r="B58" s="64" t="str">
        <f>'Enter and Change Data Here'!$G$7</f>
        <v>Windstorm Power Company</v>
      </c>
      <c r="D58" s="8"/>
      <c r="E58" s="8"/>
      <c r="F58" s="8"/>
      <c r="I58" s="8"/>
    </row>
    <row r="59" spans="2:110" ht="12.75" customHeight="1">
      <c r="B59" s="130" t="s">
        <v>150</v>
      </c>
      <c r="C59" s="130"/>
      <c r="D59" s="130"/>
      <c r="E59" s="130"/>
      <c r="F59" s="130"/>
      <c r="G59" s="130"/>
      <c r="J59" s="1"/>
      <c r="K59" s="45"/>
      <c r="L59" s="1"/>
      <c r="N59" s="1"/>
      <c r="P59" s="1"/>
      <c r="R59" s="1"/>
      <c r="T59" s="1"/>
      <c r="V59" s="1"/>
      <c r="X59" s="1"/>
      <c r="Z59" s="1"/>
      <c r="AB59" s="1"/>
      <c r="AD59" s="1"/>
      <c r="AF59" s="1"/>
      <c r="AH59" s="1"/>
      <c r="AJ59" s="1"/>
      <c r="AL59" s="1"/>
      <c r="AN59" s="1"/>
      <c r="AP59" s="1"/>
      <c r="AR59" s="1"/>
      <c r="AT59" s="1"/>
      <c r="AV59" s="1"/>
      <c r="AX59" s="1"/>
      <c r="AZ59" s="1"/>
      <c r="BB59" s="1"/>
      <c r="BD59" s="1"/>
      <c r="BF59" s="1"/>
      <c r="BH59" s="1"/>
      <c r="BJ59" s="1"/>
      <c r="BL59" s="1"/>
      <c r="BN59" s="1"/>
      <c r="BP59" s="1"/>
      <c r="BR59" s="1"/>
      <c r="BT59" s="1"/>
      <c r="BV59" s="1"/>
      <c r="BX59" s="1"/>
      <c r="BZ59" s="1"/>
      <c r="CB59" s="1"/>
      <c r="CD59" s="1"/>
      <c r="CF59" s="1"/>
      <c r="CH59" s="1"/>
      <c r="CJ59" s="1"/>
      <c r="CL59" s="1"/>
      <c r="CN59" s="1"/>
      <c r="CP59" s="1"/>
      <c r="CR59" s="1"/>
      <c r="CT59" s="1"/>
      <c r="CV59" s="1"/>
      <c r="CX59" s="1"/>
      <c r="CZ59" s="1"/>
      <c r="DB59" s="1"/>
      <c r="DD59" s="1"/>
      <c r="DF59" s="1"/>
    </row>
    <row r="60" spans="1:112" ht="12.75" customHeight="1">
      <c r="A60" s="2"/>
      <c r="B60" s="15" t="s">
        <v>74</v>
      </c>
      <c r="C60" s="2"/>
      <c r="D60" s="2"/>
      <c r="E60" s="2"/>
      <c r="J60" s="128">
        <f>'Enter and Change Data Here'!$G$12</f>
        <v>2004</v>
      </c>
      <c r="K60" s="129"/>
      <c r="L60" s="128">
        <f>J60+1</f>
        <v>2005</v>
      </c>
      <c r="M60" s="129"/>
      <c r="N60" s="128">
        <f>L60+1</f>
        <v>2006</v>
      </c>
      <c r="O60" s="129"/>
      <c r="P60" s="128">
        <f>N60+1</f>
        <v>2007</v>
      </c>
      <c r="Q60" s="129"/>
      <c r="R60" s="128">
        <f>P60+1</f>
        <v>2008</v>
      </c>
      <c r="S60" s="129"/>
      <c r="T60" s="128">
        <f>R60+1</f>
        <v>2009</v>
      </c>
      <c r="U60" s="129"/>
      <c r="V60" s="128">
        <f>T60+1</f>
        <v>2010</v>
      </c>
      <c r="W60" s="129"/>
      <c r="X60" s="128">
        <f>V60+1</f>
        <v>2011</v>
      </c>
      <c r="Y60" s="129"/>
      <c r="Z60" s="128">
        <f>X60+1</f>
        <v>2012</v>
      </c>
      <c r="AA60" s="129"/>
      <c r="AB60" s="128">
        <f>Z60+1</f>
        <v>2013</v>
      </c>
      <c r="AC60" s="129"/>
      <c r="AD60" s="128">
        <f>AB60+1</f>
        <v>2014</v>
      </c>
      <c r="AE60" s="129"/>
      <c r="AF60" s="128">
        <f>AD60+1</f>
        <v>2015</v>
      </c>
      <c r="AG60" s="129"/>
      <c r="AH60" s="128">
        <f>AF60+1</f>
        <v>2016</v>
      </c>
      <c r="AI60" s="129"/>
      <c r="AJ60" s="128">
        <f>AH60+1</f>
        <v>2017</v>
      </c>
      <c r="AK60" s="129"/>
      <c r="AL60" s="128">
        <f>AJ60+1</f>
        <v>2018</v>
      </c>
      <c r="AM60" s="129"/>
      <c r="AN60" s="128">
        <f>AL60+1</f>
        <v>2019</v>
      </c>
      <c r="AO60" s="129"/>
      <c r="AP60" s="128">
        <f>AN60+1</f>
        <v>2020</v>
      </c>
      <c r="AQ60" s="129"/>
      <c r="AR60" s="128">
        <f>AP60+1</f>
        <v>2021</v>
      </c>
      <c r="AS60" s="129"/>
      <c r="AT60" s="128">
        <f>AR60+1</f>
        <v>2022</v>
      </c>
      <c r="AU60" s="129"/>
      <c r="AV60" s="128">
        <f>AT60+1</f>
        <v>2023</v>
      </c>
      <c r="AW60" s="129"/>
      <c r="AX60" s="128">
        <f>AV60+1</f>
        <v>2024</v>
      </c>
      <c r="AY60" s="129"/>
      <c r="AZ60" s="128">
        <f>AX60+1</f>
        <v>2025</v>
      </c>
      <c r="BA60" s="129"/>
      <c r="BB60" s="128">
        <f>AZ60+1</f>
        <v>2026</v>
      </c>
      <c r="BC60" s="129"/>
      <c r="BD60" s="128">
        <f>BB60+1</f>
        <v>2027</v>
      </c>
      <c r="BE60" s="129"/>
      <c r="BF60" s="128">
        <f>BD60+1</f>
        <v>2028</v>
      </c>
      <c r="BG60" s="129"/>
      <c r="BH60" s="128">
        <f>BF60+1</f>
        <v>2029</v>
      </c>
      <c r="BI60" s="129"/>
      <c r="BJ60" s="128">
        <f>BH60+1</f>
        <v>2030</v>
      </c>
      <c r="BK60" s="129"/>
      <c r="BL60" s="128">
        <f>BJ60+1</f>
        <v>2031</v>
      </c>
      <c r="BM60" s="129"/>
      <c r="BN60" s="128">
        <f>BL60+1</f>
        <v>2032</v>
      </c>
      <c r="BO60" s="129"/>
      <c r="BP60" s="128">
        <f>BN60+1</f>
        <v>2033</v>
      </c>
      <c r="BQ60" s="129"/>
      <c r="BR60" s="128">
        <f>BP60+1</f>
        <v>2034</v>
      </c>
      <c r="BS60" s="129"/>
      <c r="BT60" s="128">
        <f>BR60+1</f>
        <v>2035</v>
      </c>
      <c r="BU60" s="129"/>
      <c r="BV60" s="128">
        <f>BT60+1</f>
        <v>2036</v>
      </c>
      <c r="BW60" s="129"/>
      <c r="BX60" s="128">
        <f>BV60+1</f>
        <v>2037</v>
      </c>
      <c r="BY60" s="129"/>
      <c r="BZ60" s="128">
        <f>BX60+1</f>
        <v>2038</v>
      </c>
      <c r="CA60" s="129"/>
      <c r="CB60" s="128">
        <f>BZ60+1</f>
        <v>2039</v>
      </c>
      <c r="CC60" s="129"/>
      <c r="CD60" s="128">
        <f>CB60+1</f>
        <v>2040</v>
      </c>
      <c r="CE60" s="129"/>
      <c r="CF60" s="128">
        <f>CD60+1</f>
        <v>2041</v>
      </c>
      <c r="CG60" s="129"/>
      <c r="CH60" s="128">
        <f>CF60+1</f>
        <v>2042</v>
      </c>
      <c r="CI60" s="129"/>
      <c r="CJ60" s="128">
        <f>CH60+1</f>
        <v>2043</v>
      </c>
      <c r="CK60" s="129"/>
      <c r="CL60" s="128">
        <f>CJ60+1</f>
        <v>2044</v>
      </c>
      <c r="CM60" s="129"/>
      <c r="CN60" s="128">
        <f>CL60+1</f>
        <v>2045</v>
      </c>
      <c r="CO60" s="129"/>
      <c r="CP60" s="128">
        <f>CN60+1</f>
        <v>2046</v>
      </c>
      <c r="CQ60" s="129"/>
      <c r="CR60" s="128">
        <f>CP60+1</f>
        <v>2047</v>
      </c>
      <c r="CS60" s="129"/>
      <c r="CT60" s="128">
        <f>CR60+1</f>
        <v>2048</v>
      </c>
      <c r="CU60" s="129"/>
      <c r="CV60" s="128">
        <f>CT60+1</f>
        <v>2049</v>
      </c>
      <c r="CW60" s="129"/>
      <c r="CX60" s="128">
        <f>CV60+1</f>
        <v>2050</v>
      </c>
      <c r="CY60" s="129"/>
      <c r="CZ60" s="128">
        <f>CX60+1</f>
        <v>2051</v>
      </c>
      <c r="DA60" s="129"/>
      <c r="DB60" s="128">
        <f>CZ60+1</f>
        <v>2052</v>
      </c>
      <c r="DC60" s="129"/>
      <c r="DD60" s="128">
        <f>DB60+1</f>
        <v>2053</v>
      </c>
      <c r="DE60" s="129"/>
      <c r="DF60" s="128">
        <f>DD60+1</f>
        <v>2054</v>
      </c>
      <c r="DG60" s="129"/>
      <c r="DH60" s="13"/>
    </row>
    <row r="61" spans="2:110" ht="12.75" customHeight="1">
      <c r="B61" s="41" t="str">
        <f>CONCATENATE("(in ",'Enter and Change Data Here'!$G$13,")")</f>
        <v>(in $US)</v>
      </c>
      <c r="D61" s="2"/>
      <c r="E61" s="2"/>
      <c r="J61" s="1"/>
      <c r="L61" s="1"/>
      <c r="N61" s="1"/>
      <c r="P61" s="1"/>
      <c r="R61" s="1"/>
      <c r="T61" s="1"/>
      <c r="V61" s="1"/>
      <c r="X61" s="1"/>
      <c r="Z61" s="1"/>
      <c r="AB61" s="1"/>
      <c r="AD61" s="1"/>
      <c r="AF61" s="1"/>
      <c r="AH61" s="1"/>
      <c r="AJ61" s="1"/>
      <c r="AL61" s="1"/>
      <c r="AN61" s="1"/>
      <c r="AP61" s="1"/>
      <c r="AR61" s="1"/>
      <c r="AT61" s="1"/>
      <c r="AV61" s="1"/>
      <c r="AX61" s="1"/>
      <c r="AZ61" s="1"/>
      <c r="BB61" s="1"/>
      <c r="BD61" s="1"/>
      <c r="BF61" s="1"/>
      <c r="BH61" s="1"/>
      <c r="BJ61" s="1"/>
      <c r="BL61" s="1"/>
      <c r="BN61" s="1"/>
      <c r="BP61" s="1"/>
      <c r="BR61" s="1"/>
      <c r="BT61" s="1"/>
      <c r="BV61" s="1"/>
      <c r="BX61" s="1"/>
      <c r="BZ61" s="1"/>
      <c r="CB61" s="1"/>
      <c r="CD61" s="1"/>
      <c r="CF61" s="1"/>
      <c r="CH61" s="1"/>
      <c r="CJ61" s="1"/>
      <c r="CL61" s="1"/>
      <c r="CN61" s="1"/>
      <c r="CP61" s="1"/>
      <c r="CR61" s="1"/>
      <c r="CT61" s="1"/>
      <c r="CV61" s="1"/>
      <c r="CX61" s="1"/>
      <c r="CZ61" s="1"/>
      <c r="DB61" s="1"/>
      <c r="DD61" s="1"/>
      <c r="DF61" s="1"/>
    </row>
    <row r="62" spans="4:110" ht="12.75" customHeight="1">
      <c r="D62" s="2"/>
      <c r="E62" s="2"/>
      <c r="J62" s="1"/>
      <c r="L62" s="1"/>
      <c r="N62" s="1"/>
      <c r="P62" s="1"/>
      <c r="R62" s="1"/>
      <c r="T62" s="1"/>
      <c r="V62" s="1"/>
      <c r="X62" s="1"/>
      <c r="Z62" s="1"/>
      <c r="AB62" s="1"/>
      <c r="AD62" s="1"/>
      <c r="AF62" s="1"/>
      <c r="AH62" s="1"/>
      <c r="AJ62" s="1"/>
      <c r="AL62" s="1"/>
      <c r="AN62" s="1"/>
      <c r="AP62" s="1"/>
      <c r="AR62" s="1"/>
      <c r="AT62" s="1"/>
      <c r="AV62" s="1"/>
      <c r="AX62" s="1"/>
      <c r="AZ62" s="1"/>
      <c r="BB62" s="1"/>
      <c r="BD62" s="1"/>
      <c r="BF62" s="1"/>
      <c r="BH62" s="1"/>
      <c r="BJ62" s="1"/>
      <c r="BL62" s="1"/>
      <c r="BN62" s="1"/>
      <c r="BP62" s="1"/>
      <c r="BR62" s="1"/>
      <c r="BT62" s="1"/>
      <c r="BV62" s="1"/>
      <c r="BX62" s="1"/>
      <c r="BZ62" s="1"/>
      <c r="CB62" s="1"/>
      <c r="CD62" s="1"/>
      <c r="CF62" s="1"/>
      <c r="CH62" s="1"/>
      <c r="CJ62" s="1"/>
      <c r="CL62" s="1"/>
      <c r="CN62" s="1"/>
      <c r="CP62" s="1"/>
      <c r="CR62" s="1"/>
      <c r="CT62" s="1"/>
      <c r="CV62" s="1"/>
      <c r="CX62" s="1"/>
      <c r="CZ62" s="1"/>
      <c r="DB62" s="1"/>
      <c r="DD62" s="1"/>
      <c r="DF62" s="1"/>
    </row>
    <row r="63" spans="3:110" ht="12.75" customHeight="1">
      <c r="C63" s="15" t="s">
        <v>82</v>
      </c>
      <c r="D63" s="2"/>
      <c r="E63" s="2"/>
      <c r="J63" s="1"/>
      <c r="L63" s="1"/>
      <c r="N63" s="1"/>
      <c r="P63" s="1"/>
      <c r="R63" s="1"/>
      <c r="T63" s="1"/>
      <c r="V63" s="1"/>
      <c r="X63" s="1"/>
      <c r="Z63" s="1"/>
      <c r="AB63" s="1"/>
      <c r="AD63" s="1"/>
      <c r="AF63" s="1"/>
      <c r="AH63" s="1"/>
      <c r="AJ63" s="1"/>
      <c r="AL63" s="1"/>
      <c r="AN63" s="1"/>
      <c r="AP63" s="1"/>
      <c r="AR63" s="1"/>
      <c r="AT63" s="1"/>
      <c r="AV63" s="1"/>
      <c r="AX63" s="1"/>
      <c r="AZ63" s="1"/>
      <c r="BB63" s="1"/>
      <c r="BD63" s="1"/>
      <c r="BF63" s="1"/>
      <c r="BH63" s="1"/>
      <c r="BJ63" s="1"/>
      <c r="BL63" s="1"/>
      <c r="BN63" s="1"/>
      <c r="BP63" s="1"/>
      <c r="BR63" s="1"/>
      <c r="BT63" s="1"/>
      <c r="BV63" s="1"/>
      <c r="BX63" s="1"/>
      <c r="BZ63" s="1"/>
      <c r="CB63" s="1"/>
      <c r="CD63" s="1"/>
      <c r="CF63" s="1"/>
      <c r="CH63" s="1"/>
      <c r="CJ63" s="1"/>
      <c r="CL63" s="1"/>
      <c r="CN63" s="1"/>
      <c r="CP63" s="1"/>
      <c r="CR63" s="1"/>
      <c r="CT63" s="1"/>
      <c r="CV63" s="1"/>
      <c r="CX63" s="1"/>
      <c r="CZ63" s="1"/>
      <c r="DB63" s="1"/>
      <c r="DD63" s="1"/>
      <c r="DF63" s="1"/>
    </row>
    <row r="64" spans="4:110" ht="12.75" customHeight="1">
      <c r="D64" s="2"/>
      <c r="E64" s="2"/>
      <c r="J64" s="1"/>
      <c r="L64" s="1"/>
      <c r="N64" s="1"/>
      <c r="P64" s="1"/>
      <c r="R64" s="1"/>
      <c r="T64" s="1"/>
      <c r="V64" s="1"/>
      <c r="X64" s="1"/>
      <c r="Z64" s="1"/>
      <c r="AB64" s="1"/>
      <c r="AD64" s="1"/>
      <c r="AF64" s="1"/>
      <c r="AH64" s="1"/>
      <c r="AJ64" s="1"/>
      <c r="AL64" s="1"/>
      <c r="AN64" s="1"/>
      <c r="AP64" s="1"/>
      <c r="AR64" s="1"/>
      <c r="AT64" s="1"/>
      <c r="AV64" s="1"/>
      <c r="AX64" s="1"/>
      <c r="AZ64" s="1"/>
      <c r="BB64" s="1"/>
      <c r="BD64" s="1"/>
      <c r="BF64" s="1"/>
      <c r="BH64" s="1"/>
      <c r="BJ64" s="1"/>
      <c r="BL64" s="1"/>
      <c r="BN64" s="1"/>
      <c r="BP64" s="1"/>
      <c r="BR64" s="1"/>
      <c r="BT64" s="1"/>
      <c r="BV64" s="1"/>
      <c r="BX64" s="1"/>
      <c r="BZ64" s="1"/>
      <c r="CB64" s="1"/>
      <c r="CD64" s="1"/>
      <c r="CF64" s="1"/>
      <c r="CH64" s="1"/>
      <c r="CJ64" s="1"/>
      <c r="CL64" s="1"/>
      <c r="CN64" s="1"/>
      <c r="CP64" s="1"/>
      <c r="CR64" s="1"/>
      <c r="CT64" s="1"/>
      <c r="CV64" s="1"/>
      <c r="CX64" s="1"/>
      <c r="CZ64" s="1"/>
      <c r="DB64" s="1"/>
      <c r="DD64" s="1"/>
      <c r="DF64" s="1"/>
    </row>
    <row r="65" spans="2:110" ht="12.75" customHeight="1">
      <c r="B65" s="40"/>
      <c r="C65" t="s">
        <v>83</v>
      </c>
      <c r="D65" s="2"/>
      <c r="E65" s="2"/>
      <c r="J65" s="1"/>
      <c r="L65" s="1"/>
      <c r="N65" s="1"/>
      <c r="P65" s="1"/>
      <c r="R65" s="1"/>
      <c r="T65" s="1"/>
      <c r="V65" s="1"/>
      <c r="X65" s="1"/>
      <c r="Z65" s="1"/>
      <c r="AB65" s="1"/>
      <c r="AD65" s="1"/>
      <c r="AF65" s="1"/>
      <c r="AH65" s="1"/>
      <c r="AJ65" s="1"/>
      <c r="AL65" s="1"/>
      <c r="AN65" s="1"/>
      <c r="AP65" s="1"/>
      <c r="AR65" s="1"/>
      <c r="AT65" s="1"/>
      <c r="AV65" s="1"/>
      <c r="AX65" s="1"/>
      <c r="AZ65" s="1"/>
      <c r="BB65" s="1"/>
      <c r="BD65" s="1"/>
      <c r="BF65" s="1"/>
      <c r="BH65" s="1"/>
      <c r="BJ65" s="1"/>
      <c r="BL65" s="1"/>
      <c r="BN65" s="1"/>
      <c r="BP65" s="1"/>
      <c r="BR65" s="1"/>
      <c r="BT65" s="1"/>
      <c r="BV65" s="1"/>
      <c r="BX65" s="1"/>
      <c r="BZ65" s="1"/>
      <c r="CB65" s="1"/>
      <c r="CD65" s="1"/>
      <c r="CF65" s="1"/>
      <c r="CH65" s="1"/>
      <c r="CJ65" s="1"/>
      <c r="CL65" s="1"/>
      <c r="CN65" s="1"/>
      <c r="CP65" s="1"/>
      <c r="CR65" s="1"/>
      <c r="CT65" s="1"/>
      <c r="CV65" s="1"/>
      <c r="CX65" s="1"/>
      <c r="CZ65" s="1"/>
      <c r="DB65" s="1"/>
      <c r="DD65" s="1"/>
      <c r="DF65" s="1"/>
    </row>
    <row r="66" spans="2:110" ht="12.75" customHeight="1">
      <c r="B66" s="40"/>
      <c r="D66" s="2" t="s">
        <v>4</v>
      </c>
      <c r="E66" s="2"/>
      <c r="J66" s="1">
        <f>J25</f>
        <v>-1800000</v>
      </c>
      <c r="L66" s="1">
        <f>L25</f>
        <v>2195910.7728815926</v>
      </c>
      <c r="N66" s="1">
        <f>N25</f>
        <v>3426720.9872606327</v>
      </c>
      <c r="P66" s="1">
        <f>P25</f>
        <v>4174199.65088594</v>
      </c>
      <c r="R66" s="1">
        <f>R25</f>
        <v>4413281.816997603</v>
      </c>
      <c r="T66" s="1">
        <f>T25</f>
        <v>4660674.4363853205</v>
      </c>
      <c r="V66" s="1">
        <f>V25</f>
        <v>4916833.6460464</v>
      </c>
      <c r="X66" s="1">
        <f>X25</f>
        <v>5182251.096931815</v>
      </c>
      <c r="Z66" s="1">
        <f>Z25</f>
        <v>5457457.053900391</v>
      </c>
      <c r="AB66" s="1">
        <f>AB25</f>
        <v>5739966.493355382</v>
      </c>
      <c r="AD66" s="1">
        <f>AD25</f>
        <v>5969034.244863758</v>
      </c>
      <c r="AF66" s="1">
        <f>AF25</f>
        <v>6206566.198431108</v>
      </c>
      <c r="AH66" s="1">
        <f>AH25</f>
        <v>6453152.655311435</v>
      </c>
      <c r="AJ66" s="1">
        <f>AJ25</f>
        <v>6709435.376418812</v>
      </c>
      <c r="AL66" s="1">
        <f>AL25</f>
        <v>6976112.21052628</v>
      </c>
      <c r="AN66" s="1">
        <f>AN25</f>
        <v>7253942.139391754</v>
      </c>
      <c r="AP66" s="1">
        <f>AP25</f>
        <v>7543750.777348416</v>
      </c>
      <c r="AR66" s="1">
        <f>AR25</f>
        <v>7846436.366275948</v>
      </c>
      <c r="AT66" s="1">
        <f>AT25</f>
        <v>8162976.3105516285</v>
      </c>
      <c r="AV66" s="1">
        <f>AV25</f>
        <v>8494434.300594853</v>
      </c>
      <c r="AX66" s="1">
        <f>AX25</f>
        <v>8841968.077994067</v>
      </c>
      <c r="AZ66" s="1">
        <f>AZ25</f>
        <v>11893935.357601352</v>
      </c>
      <c r="BB66" s="1">
        <f>BB25</f>
        <v>12105308.950157685</v>
      </c>
      <c r="BD66" s="1">
        <f>BD25</f>
        <v>12319319.550730165</v>
      </c>
      <c r="BF66" s="1">
        <f>BF25</f>
        <v>12535988.089888493</v>
      </c>
      <c r="BH66" s="1">
        <f>BH25</f>
        <v>12755335.40785844</v>
      </c>
      <c r="BJ66" s="1">
        <f>BJ25</f>
        <v>0</v>
      </c>
      <c r="BL66" s="1">
        <f>BL25</f>
        <v>0</v>
      </c>
      <c r="BN66" s="1">
        <f>BN25</f>
        <v>0</v>
      </c>
      <c r="BP66" s="1">
        <f>BP25</f>
        <v>0</v>
      </c>
      <c r="BR66" s="1">
        <f>BR25</f>
        <v>0</v>
      </c>
      <c r="BT66" s="1">
        <f>BT25</f>
        <v>0</v>
      </c>
      <c r="BV66" s="1">
        <f>BV25</f>
        <v>0</v>
      </c>
      <c r="BX66" s="1">
        <f>BX25</f>
        <v>0</v>
      </c>
      <c r="BZ66" s="1">
        <f>BZ25</f>
        <v>0</v>
      </c>
      <c r="CB66" s="1">
        <f>CB25</f>
        <v>0</v>
      </c>
      <c r="CD66" s="1">
        <f>CD25</f>
        <v>0</v>
      </c>
      <c r="CF66" s="1">
        <f>CF25</f>
        <v>0</v>
      </c>
      <c r="CH66" s="1">
        <f>CH25</f>
        <v>0</v>
      </c>
      <c r="CJ66" s="1">
        <f>CJ25</f>
        <v>0</v>
      </c>
      <c r="CL66" s="1">
        <f>CL25</f>
        <v>0</v>
      </c>
      <c r="CN66" s="1">
        <f>CN25</f>
        <v>0</v>
      </c>
      <c r="CP66" s="1">
        <f>CP25</f>
        <v>0</v>
      </c>
      <c r="CR66" s="1">
        <f>CR25</f>
        <v>0</v>
      </c>
      <c r="CT66" s="1">
        <f>CT25</f>
        <v>0</v>
      </c>
      <c r="CV66" s="1">
        <f>CV25</f>
        <v>0</v>
      </c>
      <c r="CX66" s="1">
        <f>CX25</f>
        <v>0</v>
      </c>
      <c r="CZ66" s="1">
        <f>CZ25</f>
        <v>0</v>
      </c>
      <c r="DB66" s="1">
        <f>DB25</f>
        <v>0</v>
      </c>
      <c r="DD66" s="1">
        <f>DD25</f>
        <v>0</v>
      </c>
      <c r="DF66" s="1">
        <f>DF25</f>
        <v>0</v>
      </c>
    </row>
    <row r="67" spans="4:110" ht="12.75" customHeight="1">
      <c r="D67" s="2" t="s">
        <v>2</v>
      </c>
      <c r="E67" s="2"/>
      <c r="J67" s="1">
        <f>J12</f>
        <v>0</v>
      </c>
      <c r="K67" s="42"/>
      <c r="L67" s="1">
        <f>L12</f>
        <v>4478495.762711864</v>
      </c>
      <c r="N67" s="1">
        <f>N12</f>
        <v>4478495.762711864</v>
      </c>
      <c r="P67" s="1">
        <f>P12</f>
        <v>4478495.762711864</v>
      </c>
      <c r="R67" s="1">
        <f>R12</f>
        <v>4478495.762711864</v>
      </c>
      <c r="T67" s="1">
        <f>T12</f>
        <v>4478495.762711864</v>
      </c>
      <c r="V67" s="1">
        <f>V12</f>
        <v>4478495.762711864</v>
      </c>
      <c r="X67" s="1">
        <f>X12</f>
        <v>4478495.762711864</v>
      </c>
      <c r="Z67" s="1">
        <f>Z12</f>
        <v>4478495.762711864</v>
      </c>
      <c r="AB67" s="1">
        <f>AB12</f>
        <v>4478495.762711864</v>
      </c>
      <c r="AD67" s="1">
        <f>AD12</f>
        <v>4478495.762711864</v>
      </c>
      <c r="AF67" s="1">
        <f>AF12</f>
        <v>4478495.762711864</v>
      </c>
      <c r="AH67" s="1">
        <f>AH12</f>
        <v>4478495.762711864</v>
      </c>
      <c r="AJ67" s="1">
        <f>AJ12</f>
        <v>4478495.762711864</v>
      </c>
      <c r="AL67" s="1">
        <f>AL12</f>
        <v>4478495.762711864</v>
      </c>
      <c r="AN67" s="1">
        <f>AN12</f>
        <v>4478495.762711864</v>
      </c>
      <c r="AP67" s="1">
        <f>AP12</f>
        <v>4478495.762711864</v>
      </c>
      <c r="AR67" s="1">
        <f>AR12</f>
        <v>4478495.762711864</v>
      </c>
      <c r="AT67" s="1">
        <f>AT12</f>
        <v>4478495.762711864</v>
      </c>
      <c r="AV67" s="1">
        <f>AV12</f>
        <v>4478495.762711864</v>
      </c>
      <c r="AX67" s="1">
        <f>AX12</f>
        <v>4478495.762711864</v>
      </c>
      <c r="AZ67" s="1">
        <f>AZ12</f>
        <v>0</v>
      </c>
      <c r="BB67" s="1">
        <f>BB12</f>
        <v>0</v>
      </c>
      <c r="BD67" s="1">
        <f>BD12</f>
        <v>0</v>
      </c>
      <c r="BF67" s="1">
        <f>BF12</f>
        <v>0</v>
      </c>
      <c r="BH67" s="1">
        <f>BH12</f>
        <v>0</v>
      </c>
      <c r="BJ67" s="1">
        <f>BJ12</f>
        <v>0</v>
      </c>
      <c r="BL67" s="1">
        <f>BL12</f>
        <v>0</v>
      </c>
      <c r="BN67" s="1">
        <f>BN12</f>
        <v>0</v>
      </c>
      <c r="BP67" s="1">
        <f>BP12</f>
        <v>0</v>
      </c>
      <c r="BR67" s="1">
        <f>BR12</f>
        <v>0</v>
      </c>
      <c r="BT67" s="1">
        <f>BT12</f>
        <v>0</v>
      </c>
      <c r="BV67" s="1">
        <f>BV12</f>
        <v>0</v>
      </c>
      <c r="BX67" s="1">
        <f>BX12</f>
        <v>0</v>
      </c>
      <c r="BZ67" s="1">
        <f>BZ12</f>
        <v>0</v>
      </c>
      <c r="CB67" s="1">
        <f>CB12</f>
        <v>0</v>
      </c>
      <c r="CD67" s="1">
        <f>CD12</f>
        <v>0</v>
      </c>
      <c r="CF67" s="1">
        <f>CF12</f>
        <v>0</v>
      </c>
      <c r="CH67" s="1">
        <f>CH12</f>
        <v>0</v>
      </c>
      <c r="CJ67" s="1">
        <f>CJ12</f>
        <v>0</v>
      </c>
      <c r="CL67" s="1">
        <f>CL12</f>
        <v>0</v>
      </c>
      <c r="CN67" s="1">
        <f>CN12</f>
        <v>0</v>
      </c>
      <c r="CP67" s="1">
        <f>CP12</f>
        <v>0</v>
      </c>
      <c r="CR67" s="1">
        <f>CR12</f>
        <v>0</v>
      </c>
      <c r="CT67" s="1">
        <f>CT12</f>
        <v>0</v>
      </c>
      <c r="CV67" s="1">
        <f>CV12</f>
        <v>0</v>
      </c>
      <c r="CX67" s="1">
        <f>CX12</f>
        <v>0</v>
      </c>
      <c r="CZ67" s="1">
        <f>CZ12</f>
        <v>0</v>
      </c>
      <c r="DB67" s="1">
        <f>DB12</f>
        <v>0</v>
      </c>
      <c r="DD67" s="1">
        <f>DD12</f>
        <v>0</v>
      </c>
      <c r="DF67" s="1">
        <f>DF12</f>
        <v>0</v>
      </c>
    </row>
    <row r="68" spans="4:111" ht="12.75" customHeight="1" thickBot="1">
      <c r="D68" s="2" t="s">
        <v>77</v>
      </c>
      <c r="E68" s="2"/>
      <c r="J68" s="1">
        <f>J23</f>
        <v>-1200000</v>
      </c>
      <c r="K68" s="42"/>
      <c r="L68" s="1">
        <f>L23</f>
        <v>1463940.515254</v>
      </c>
      <c r="M68" s="42"/>
      <c r="N68" s="1">
        <f>N23</f>
        <v>2284480.658173</v>
      </c>
      <c r="O68" s="42"/>
      <c r="P68" s="1">
        <f>P23</f>
        <v>2782799.767257</v>
      </c>
      <c r="Q68" s="42"/>
      <c r="R68" s="1">
        <f>R23</f>
        <v>2942187.877998</v>
      </c>
      <c r="S68" s="42"/>
      <c r="T68" s="1">
        <f>T23</f>
        <v>3107116.290924</v>
      </c>
      <c r="U68" s="42"/>
      <c r="V68" s="1">
        <f>V23</f>
        <v>3277889.097365</v>
      </c>
      <c r="W68" s="42"/>
      <c r="X68" s="1">
        <f>X23</f>
        <v>3454834.064622</v>
      </c>
      <c r="Y68" s="42"/>
      <c r="Z68" s="1">
        <f>Z23</f>
        <v>3383531.389424</v>
      </c>
      <c r="AA68" s="42"/>
      <c r="AB68" s="1">
        <f>AB23</f>
        <v>-1791398.305085</v>
      </c>
      <c r="AC68" s="42"/>
      <c r="AD68" s="1">
        <f>AD23</f>
        <v>-1791398.305085</v>
      </c>
      <c r="AE68" s="42"/>
      <c r="AF68" s="1">
        <f>AF23</f>
        <v>-1791398.305085</v>
      </c>
      <c r="AG68" s="42"/>
      <c r="AH68" s="1">
        <f>AH23</f>
        <v>-1791398.305085</v>
      </c>
      <c r="AI68" s="42"/>
      <c r="AJ68" s="1">
        <f>AJ23</f>
        <v>-1791398.305085</v>
      </c>
      <c r="AK68" s="42"/>
      <c r="AL68" s="1">
        <f>AL23</f>
        <v>-1791398.305085</v>
      </c>
      <c r="AM68" s="42"/>
      <c r="AN68" s="1">
        <f>AN23</f>
        <v>-1791398.305085</v>
      </c>
      <c r="AO68" s="42"/>
      <c r="AP68" s="1">
        <f>AP23</f>
        <v>-1791398.305085</v>
      </c>
      <c r="AQ68" s="42"/>
      <c r="AR68" s="1">
        <f>AR23</f>
        <v>-1791398.305085</v>
      </c>
      <c r="AS68" s="42"/>
      <c r="AT68" s="1">
        <f>AT23</f>
        <v>-1791398.305085</v>
      </c>
      <c r="AU68" s="42"/>
      <c r="AV68" s="1">
        <f>AV23</f>
        <v>-1791398.305085</v>
      </c>
      <c r="AW68" s="42"/>
      <c r="AX68" s="1">
        <f>AX23</f>
        <v>-1791398.305085</v>
      </c>
      <c r="AY68" s="42"/>
      <c r="AZ68" s="1">
        <f>AZ23</f>
        <v>0</v>
      </c>
      <c r="BA68" s="42"/>
      <c r="BB68" s="1">
        <f>BB23</f>
        <v>0</v>
      </c>
      <c r="BC68" s="42"/>
      <c r="BD68" s="1">
        <f>BD23</f>
        <v>0</v>
      </c>
      <c r="BE68" s="42"/>
      <c r="BF68" s="1">
        <f>BF23</f>
        <v>0</v>
      </c>
      <c r="BG68" s="42"/>
      <c r="BH68" s="1">
        <f>BH23</f>
        <v>0</v>
      </c>
      <c r="BI68" s="42"/>
      <c r="BJ68" s="1">
        <f>BJ23</f>
        <v>0</v>
      </c>
      <c r="BK68" s="42"/>
      <c r="BL68" s="1">
        <f>BL23</f>
        <v>0</v>
      </c>
      <c r="BM68" s="42"/>
      <c r="BN68" s="1">
        <f>BN23</f>
        <v>0</v>
      </c>
      <c r="BO68" s="42"/>
      <c r="BP68" s="1">
        <f>BP23</f>
        <v>0</v>
      </c>
      <c r="BQ68" s="42"/>
      <c r="BR68" s="1">
        <f>BR23</f>
        <v>0</v>
      </c>
      <c r="BS68" s="42"/>
      <c r="BT68" s="1">
        <f>BT23</f>
        <v>0</v>
      </c>
      <c r="BU68" s="42"/>
      <c r="BV68" s="1">
        <f>BV23</f>
        <v>0</v>
      </c>
      <c r="BW68" s="42"/>
      <c r="BX68" s="1">
        <f>BX23</f>
        <v>0</v>
      </c>
      <c r="BY68" s="42"/>
      <c r="BZ68" s="1">
        <f>BZ23</f>
        <v>0</v>
      </c>
      <c r="CA68" s="42"/>
      <c r="CB68" s="1">
        <f>CB23</f>
        <v>0</v>
      </c>
      <c r="CC68" s="42"/>
      <c r="CD68" s="1">
        <f>CD23</f>
        <v>0</v>
      </c>
      <c r="CE68" s="42"/>
      <c r="CF68" s="1">
        <f>CF23</f>
        <v>0</v>
      </c>
      <c r="CG68" s="42"/>
      <c r="CH68" s="1">
        <f>CH23</f>
        <v>0</v>
      </c>
      <c r="CI68" s="42"/>
      <c r="CJ68" s="1">
        <f>CJ23</f>
        <v>0</v>
      </c>
      <c r="CK68" s="42"/>
      <c r="CL68" s="1">
        <f>CL23</f>
        <v>0</v>
      </c>
      <c r="CM68" s="42"/>
      <c r="CN68" s="1">
        <f>CN23</f>
        <v>0</v>
      </c>
      <c r="CO68" s="42"/>
      <c r="CP68" s="1">
        <f>CP23</f>
        <v>0</v>
      </c>
      <c r="CQ68" s="42"/>
      <c r="CR68" s="1">
        <f>CR23</f>
        <v>0</v>
      </c>
      <c r="CS68" s="42"/>
      <c r="CT68" s="1">
        <f>CT23</f>
        <v>0</v>
      </c>
      <c r="CU68" s="42"/>
      <c r="CV68" s="1">
        <f>CV23</f>
        <v>0</v>
      </c>
      <c r="CW68" s="42"/>
      <c r="CX68" s="1">
        <f>CX23</f>
        <v>0</v>
      </c>
      <c r="CY68" s="42"/>
      <c r="CZ68" s="1">
        <f>CZ23</f>
        <v>0</v>
      </c>
      <c r="DA68" s="42"/>
      <c r="DB68" s="1">
        <f>DB23</f>
        <v>0</v>
      </c>
      <c r="DC68" s="42"/>
      <c r="DD68" s="1">
        <f>DD23</f>
        <v>0</v>
      </c>
      <c r="DE68" s="42"/>
      <c r="DF68" s="1">
        <f>DF23</f>
        <v>0</v>
      </c>
      <c r="DG68" s="42"/>
    </row>
    <row r="69" spans="3:110" ht="12.75" customHeight="1">
      <c r="C69" s="14" t="s">
        <v>123</v>
      </c>
      <c r="D69" s="2"/>
      <c r="E69" s="2"/>
      <c r="J69" s="61">
        <f>SUM(J66:J68)</f>
        <v>-3000000</v>
      </c>
      <c r="K69" s="42"/>
      <c r="L69" s="61">
        <f>SUM(L66:L68)</f>
        <v>8138347.050847457</v>
      </c>
      <c r="N69" s="61">
        <f>SUM(N66:N68)</f>
        <v>10189697.408145497</v>
      </c>
      <c r="P69" s="61">
        <f>SUM(P66:P68)</f>
        <v>11435495.180854803</v>
      </c>
      <c r="R69" s="61">
        <f>SUM(R66:R68)</f>
        <v>11833965.457707467</v>
      </c>
      <c r="T69" s="61">
        <f>SUM(T66:T68)</f>
        <v>12246286.490021184</v>
      </c>
      <c r="V69" s="61">
        <f>SUM(V66:V68)</f>
        <v>12673218.506123263</v>
      </c>
      <c r="X69" s="61">
        <f>SUM(X66:X68)</f>
        <v>13115580.924265679</v>
      </c>
      <c r="Z69" s="61">
        <f>SUM(Z66:Z68)</f>
        <v>13319484.206036255</v>
      </c>
      <c r="AB69" s="61">
        <f>SUM(AB66:AB68)</f>
        <v>8427063.950982247</v>
      </c>
      <c r="AD69" s="61">
        <f>SUM(AD66:AD68)</f>
        <v>8656131.702490622</v>
      </c>
      <c r="AF69" s="61">
        <f>SUM(AF66:AF68)</f>
        <v>8893663.656057972</v>
      </c>
      <c r="AH69" s="61">
        <f>SUM(AH66:AH68)</f>
        <v>9140250.1129383</v>
      </c>
      <c r="AJ69" s="61">
        <f>SUM(AJ66:AJ68)</f>
        <v>9396532.834045677</v>
      </c>
      <c r="AL69" s="61">
        <f>SUM(AL66:AL68)</f>
        <v>9663209.668153144</v>
      </c>
      <c r="AN69" s="61">
        <f>SUM(AN66:AN68)</f>
        <v>9941039.597018618</v>
      </c>
      <c r="AP69" s="61">
        <f>SUM(AP66:AP68)</f>
        <v>10230848.23497528</v>
      </c>
      <c r="AR69" s="61">
        <f>SUM(AR66:AR68)</f>
        <v>10533533.823902812</v>
      </c>
      <c r="AT69" s="61">
        <f>SUM(AT66:AT68)</f>
        <v>10850073.768178493</v>
      </c>
      <c r="AV69" s="61">
        <f>SUM(AV66:AV68)</f>
        <v>11181531.758221718</v>
      </c>
      <c r="AX69" s="61">
        <f>SUM(AX66:AX68)</f>
        <v>11529065.535620932</v>
      </c>
      <c r="AZ69" s="61">
        <f>SUM(AZ66:AZ68)</f>
        <v>11893935.357601352</v>
      </c>
      <c r="BB69" s="61">
        <f>SUM(BB66:BB68)</f>
        <v>12105308.950157685</v>
      </c>
      <c r="BD69" s="61">
        <f>SUM(BD66:BD68)</f>
        <v>12319319.550730165</v>
      </c>
      <c r="BF69" s="61">
        <f>SUM(BF66:BF68)</f>
        <v>12535988.089888493</v>
      </c>
      <c r="BH69" s="61">
        <f>SUM(BH66:BH68)</f>
        <v>12755335.40785844</v>
      </c>
      <c r="BJ69" s="61">
        <f>SUM(BJ66:BJ68)</f>
        <v>0</v>
      </c>
      <c r="BL69" s="61">
        <f>SUM(BL66:BL68)</f>
        <v>0</v>
      </c>
      <c r="BN69" s="61">
        <f>SUM(BN66:BN68)</f>
        <v>0</v>
      </c>
      <c r="BP69" s="61">
        <f>SUM(BP66:BP68)</f>
        <v>0</v>
      </c>
      <c r="BR69" s="61">
        <f>SUM(BR66:BR68)</f>
        <v>0</v>
      </c>
      <c r="BT69" s="61">
        <f>SUM(BT66:BT68)</f>
        <v>0</v>
      </c>
      <c r="BV69" s="61">
        <f>SUM(BV66:BV68)</f>
        <v>0</v>
      </c>
      <c r="BX69" s="61">
        <f>SUM(BX66:BX68)</f>
        <v>0</v>
      </c>
      <c r="BZ69" s="61">
        <f>SUM(BZ66:BZ68)</f>
        <v>0</v>
      </c>
      <c r="CB69" s="61">
        <f>SUM(CB66:CB68)</f>
        <v>0</v>
      </c>
      <c r="CD69" s="61">
        <f>SUM(CD66:CD68)</f>
        <v>0</v>
      </c>
      <c r="CF69" s="61">
        <f>SUM(CF66:CF68)</f>
        <v>0</v>
      </c>
      <c r="CH69" s="61">
        <f>SUM(CH66:CH68)</f>
        <v>0</v>
      </c>
      <c r="CJ69" s="61">
        <f>SUM(CJ66:CJ68)</f>
        <v>0</v>
      </c>
      <c r="CL69" s="61">
        <f>SUM(CL66:CL68)</f>
        <v>0</v>
      </c>
      <c r="CN69" s="61">
        <f>SUM(CN66:CN68)</f>
        <v>0</v>
      </c>
      <c r="CP69" s="61">
        <f>SUM(CP66:CP68)</f>
        <v>0</v>
      </c>
      <c r="CR69" s="61">
        <f>SUM(CR66:CR68)</f>
        <v>0</v>
      </c>
      <c r="CT69" s="61">
        <f>SUM(CT66:CT68)</f>
        <v>0</v>
      </c>
      <c r="CV69" s="61">
        <f>SUM(CV66:CV68)</f>
        <v>0</v>
      </c>
      <c r="CX69" s="61">
        <f>SUM(CX66:CX68)</f>
        <v>0</v>
      </c>
      <c r="CZ69" s="61">
        <f>SUM(CZ66:CZ68)</f>
        <v>0</v>
      </c>
      <c r="DB69" s="61">
        <f>SUM(DB66:DB68)</f>
        <v>0</v>
      </c>
      <c r="DD69" s="61">
        <f>SUM(DD66:DD68)</f>
        <v>0</v>
      </c>
      <c r="DF69" s="61">
        <f>SUM(DF66:DF68)</f>
        <v>0</v>
      </c>
    </row>
    <row r="70" spans="3:110" ht="12.75" customHeight="1">
      <c r="C70" s="14"/>
      <c r="D70" s="2"/>
      <c r="E70" s="2"/>
      <c r="J70" s="60"/>
      <c r="K70" s="42"/>
      <c r="L70" s="60"/>
      <c r="N70" s="60"/>
      <c r="P70" s="60"/>
      <c r="R70" s="60"/>
      <c r="T70" s="60"/>
      <c r="V70" s="60"/>
      <c r="X70" s="60"/>
      <c r="Z70" s="60"/>
      <c r="AB70" s="60"/>
      <c r="AD70" s="60"/>
      <c r="AF70" s="60"/>
      <c r="AH70" s="60"/>
      <c r="AJ70" s="60"/>
      <c r="AL70" s="60"/>
      <c r="AN70" s="60"/>
      <c r="AP70" s="60"/>
      <c r="AR70" s="60"/>
      <c r="AT70" s="60"/>
      <c r="AV70" s="60"/>
      <c r="AX70" s="60"/>
      <c r="AZ70" s="60"/>
      <c r="BB70" s="60"/>
      <c r="BD70" s="60"/>
      <c r="BF70" s="60"/>
      <c r="BH70" s="60"/>
      <c r="BJ70" s="60"/>
      <c r="BL70" s="60"/>
      <c r="BN70" s="60"/>
      <c r="BP70" s="60"/>
      <c r="BR70" s="60"/>
      <c r="BT70" s="60"/>
      <c r="BV70" s="60"/>
      <c r="BX70" s="60"/>
      <c r="BZ70" s="60"/>
      <c r="CB70" s="60"/>
      <c r="CD70" s="60"/>
      <c r="CF70" s="60"/>
      <c r="CH70" s="60"/>
      <c r="CJ70" s="60"/>
      <c r="CL70" s="60"/>
      <c r="CN70" s="60"/>
      <c r="CP70" s="60"/>
      <c r="CR70" s="60"/>
      <c r="CT70" s="60"/>
      <c r="CV70" s="60"/>
      <c r="CX70" s="60"/>
      <c r="CZ70" s="60"/>
      <c r="DB70" s="60"/>
      <c r="DD70" s="60"/>
      <c r="DF70" s="60"/>
    </row>
    <row r="71" spans="3:110" ht="12.75" customHeight="1">
      <c r="C71" t="s">
        <v>84</v>
      </c>
      <c r="D71" s="2"/>
      <c r="E71" s="2"/>
      <c r="J71" s="1"/>
      <c r="K71" s="42"/>
      <c r="L71" s="1"/>
      <c r="N71" s="1"/>
      <c r="P71" s="1"/>
      <c r="R71" s="1"/>
      <c r="T71" s="1"/>
      <c r="V71" s="1"/>
      <c r="X71" s="1"/>
      <c r="Z71" s="1"/>
      <c r="AB71" s="1"/>
      <c r="AD71" s="1"/>
      <c r="AF71" s="1"/>
      <c r="AH71" s="1"/>
      <c r="AJ71" s="1"/>
      <c r="AL71" s="1"/>
      <c r="AN71" s="1"/>
      <c r="AP71" s="1"/>
      <c r="AR71" s="1"/>
      <c r="AT71" s="1"/>
      <c r="AV71" s="1"/>
      <c r="AX71" s="1"/>
      <c r="AZ71" s="1"/>
      <c r="BB71" s="1"/>
      <c r="BD71" s="1"/>
      <c r="BF71" s="1"/>
      <c r="BH71" s="1"/>
      <c r="BJ71" s="1"/>
      <c r="BL71" s="1"/>
      <c r="BN71" s="1"/>
      <c r="BP71" s="1"/>
      <c r="BR71" s="1"/>
      <c r="BT71" s="1"/>
      <c r="BV71" s="1"/>
      <c r="BX71" s="1"/>
      <c r="BZ71" s="1"/>
      <c r="CB71" s="1"/>
      <c r="CD71" s="1"/>
      <c r="CF71" s="1"/>
      <c r="CH71" s="1"/>
      <c r="CJ71" s="1"/>
      <c r="CL71" s="1"/>
      <c r="CN71" s="1"/>
      <c r="CP71" s="1"/>
      <c r="CR71" s="1"/>
      <c r="CT71" s="1"/>
      <c r="CV71" s="1"/>
      <c r="CX71" s="1"/>
      <c r="CZ71" s="1"/>
      <c r="DB71" s="1"/>
      <c r="DD71" s="1"/>
      <c r="DF71" s="1"/>
    </row>
    <row r="72" spans="4:110" ht="12.75" customHeight="1">
      <c r="D72" s="2" t="s">
        <v>65</v>
      </c>
      <c r="E72" s="2"/>
      <c r="J72" s="1">
        <f>J48-F48</f>
        <v>37427966.10169493</v>
      </c>
      <c r="K72" s="42"/>
      <c r="L72" s="1">
        <f>L48-J48</f>
        <v>-731584.804015629</v>
      </c>
      <c r="N72" s="1">
        <f>N48-L48</f>
        <v>-797427.4363770336</v>
      </c>
      <c r="P72" s="1">
        <f>P48-N48</f>
        <v>-869195.9056509659</v>
      </c>
      <c r="R72" s="1">
        <f>R48-P48</f>
        <v>-947423.5371595547</v>
      </c>
      <c r="T72" s="1">
        <f>T48-R48</f>
        <v>-1032691.6555039175</v>
      </c>
      <c r="V72" s="1">
        <f>V48-T48</f>
        <v>-1125633.90449927</v>
      </c>
      <c r="X72" s="1">
        <f>X48-V48</f>
        <v>-1226940.9559042044</v>
      </c>
      <c r="Z72" s="1">
        <f>Z48-X48</f>
        <v>-1337365.6419355795</v>
      </c>
      <c r="AB72" s="1">
        <f>AB48-Z48</f>
        <v>-1457728.549709782</v>
      </c>
      <c r="AD72" s="1">
        <f>AD48-AB48</f>
        <v>-1588924.1191836633</v>
      </c>
      <c r="AF72" s="1">
        <f>AF48-AD48</f>
        <v>-1731927.2899101935</v>
      </c>
      <c r="AH72" s="1">
        <f>AH48-AF48</f>
        <v>-1887800.7460021116</v>
      </c>
      <c r="AJ72" s="1">
        <f>AJ48-AH48</f>
        <v>-2057702.8131422997</v>
      </c>
      <c r="AL72" s="1">
        <f>AL48-AJ48</f>
        <v>-2242896.0663251095</v>
      </c>
      <c r="AN72" s="1">
        <f>AN48-AL48</f>
        <v>-2444756.71229437</v>
      </c>
      <c r="AP72" s="1">
        <f>AP48-AN48</f>
        <v>-2664784.816400863</v>
      </c>
      <c r="AR72" s="1">
        <f>AR48-AP48</f>
        <v>-2904615.4498769417</v>
      </c>
      <c r="AT72" s="1">
        <f>AT48-AR48</f>
        <v>-3166030.8403658653</v>
      </c>
      <c r="AV72" s="1">
        <f>AV48-AT48</f>
        <v>-3450973.615998793</v>
      </c>
      <c r="AX72" s="1">
        <f>AX48-AV48</f>
        <v>-3761561.2414387795</v>
      </c>
      <c r="AZ72" s="1">
        <f>AZ48-AX48</f>
        <v>0</v>
      </c>
      <c r="BB72" s="1">
        <f>BB48-AZ48</f>
        <v>0</v>
      </c>
      <c r="BD72" s="1">
        <f>BD48-BB48</f>
        <v>0</v>
      </c>
      <c r="BF72" s="1">
        <f>BF48-BD48</f>
        <v>0</v>
      </c>
      <c r="BH72" s="1">
        <f>BH48-BF48</f>
        <v>0</v>
      </c>
      <c r="BJ72" s="1">
        <f>BJ48-BH48</f>
        <v>0</v>
      </c>
      <c r="BL72" s="1">
        <f>BL48-BJ48</f>
        <v>0</v>
      </c>
      <c r="BN72" s="1">
        <f>BN48-BL48</f>
        <v>0</v>
      </c>
      <c r="BP72" s="1">
        <f>BP48-BN48</f>
        <v>0</v>
      </c>
      <c r="BR72" s="1">
        <f>BR48-BP48</f>
        <v>0</v>
      </c>
      <c r="BT72" s="1">
        <f>BT48-BR48</f>
        <v>0</v>
      </c>
      <c r="BV72" s="1">
        <f>BV48-BT48</f>
        <v>0</v>
      </c>
      <c r="BX72" s="1">
        <f>BX48-BV48</f>
        <v>0</v>
      </c>
      <c r="BZ72" s="1">
        <f>BZ48-BX48</f>
        <v>0</v>
      </c>
      <c r="CB72" s="1">
        <f>CB48-BZ48</f>
        <v>0</v>
      </c>
      <c r="CD72" s="1">
        <f>CD48-CB48</f>
        <v>0</v>
      </c>
      <c r="CF72" s="1">
        <f>CF48-CD48</f>
        <v>0</v>
      </c>
      <c r="CH72" s="1">
        <f>CH48-CF48</f>
        <v>0</v>
      </c>
      <c r="CJ72" s="1">
        <f>CJ48-CH48</f>
        <v>0</v>
      </c>
      <c r="CL72" s="1">
        <f>CL48-CJ48</f>
        <v>0</v>
      </c>
      <c r="CN72" s="1">
        <f>CN48-CL48</f>
        <v>0</v>
      </c>
      <c r="CP72" s="1">
        <f>CP48-CN48</f>
        <v>0</v>
      </c>
      <c r="CR72" s="1">
        <f>CR48-CP48</f>
        <v>0</v>
      </c>
      <c r="CT72" s="1">
        <f>CT48-CR48</f>
        <v>0</v>
      </c>
      <c r="CV72" s="1">
        <f>CV48-CT48</f>
        <v>0</v>
      </c>
      <c r="CX72" s="1">
        <f>CX48-CV48</f>
        <v>0</v>
      </c>
      <c r="CZ72" s="1">
        <f>CZ48-CX48</f>
        <v>0</v>
      </c>
      <c r="DB72" s="1">
        <f>DB48-CZ48</f>
        <v>0</v>
      </c>
      <c r="DD72" s="1">
        <f>DD48-DB48</f>
        <v>0</v>
      </c>
      <c r="DF72" s="1">
        <f>DF48-DD48</f>
        <v>0</v>
      </c>
    </row>
    <row r="73" spans="4:110" ht="12.75" customHeight="1">
      <c r="D73" s="2" t="s">
        <v>119</v>
      </c>
      <c r="E73" s="2"/>
      <c r="J73" s="1">
        <f>'Enter and Change Data Here'!O30</f>
        <v>56141949.152542375</v>
      </c>
      <c r="K73" s="46"/>
      <c r="L73" s="1">
        <f>0</f>
        <v>0</v>
      </c>
      <c r="N73" s="1">
        <f>0</f>
        <v>0</v>
      </c>
      <c r="P73" s="1">
        <f>0</f>
        <v>0</v>
      </c>
      <c r="R73" s="1">
        <f>0</f>
        <v>0</v>
      </c>
      <c r="T73" s="1">
        <f>0</f>
        <v>0</v>
      </c>
      <c r="V73" s="1">
        <f>0</f>
        <v>0</v>
      </c>
      <c r="X73" s="1">
        <f>0</f>
        <v>0</v>
      </c>
      <c r="Z73" s="1">
        <f>0</f>
        <v>0</v>
      </c>
      <c r="AB73" s="1">
        <f>0</f>
        <v>0</v>
      </c>
      <c r="AD73" s="1">
        <f>0</f>
        <v>0</v>
      </c>
      <c r="AF73" s="1">
        <f>0</f>
        <v>0</v>
      </c>
      <c r="AH73" s="1">
        <f>0</f>
        <v>0</v>
      </c>
      <c r="AJ73" s="1">
        <f>0</f>
        <v>0</v>
      </c>
      <c r="AL73" s="1">
        <f>0</f>
        <v>0</v>
      </c>
      <c r="AN73" s="1">
        <f>0</f>
        <v>0</v>
      </c>
      <c r="AP73" s="1">
        <f>0</f>
        <v>0</v>
      </c>
      <c r="AR73" s="1">
        <f>0</f>
        <v>0</v>
      </c>
      <c r="AT73" s="1">
        <f>0</f>
        <v>0</v>
      </c>
      <c r="AV73" s="1">
        <f>0</f>
        <v>0</v>
      </c>
      <c r="AX73" s="1">
        <f>0</f>
        <v>0</v>
      </c>
      <c r="AZ73" s="1">
        <f>0</f>
        <v>0</v>
      </c>
      <c r="BB73" s="1">
        <f>0</f>
        <v>0</v>
      </c>
      <c r="BD73" s="1">
        <f>0</f>
        <v>0</v>
      </c>
      <c r="BF73" s="1">
        <f>0</f>
        <v>0</v>
      </c>
      <c r="BH73" s="1">
        <f>0</f>
        <v>0</v>
      </c>
      <c r="BJ73" s="1">
        <f>0</f>
        <v>0</v>
      </c>
      <c r="BL73" s="1">
        <f>0</f>
        <v>0</v>
      </c>
      <c r="BN73" s="1">
        <f>0</f>
        <v>0</v>
      </c>
      <c r="BP73" s="1">
        <f>0</f>
        <v>0</v>
      </c>
      <c r="BR73" s="1">
        <f>0</f>
        <v>0</v>
      </c>
      <c r="BT73" s="1">
        <f>0</f>
        <v>0</v>
      </c>
      <c r="BV73" s="1">
        <f>0</f>
        <v>0</v>
      </c>
      <c r="BX73" s="1">
        <f>0</f>
        <v>0</v>
      </c>
      <c r="BZ73" s="1">
        <f>0</f>
        <v>0</v>
      </c>
      <c r="CB73" s="1">
        <f>0</f>
        <v>0</v>
      </c>
      <c r="CD73" s="1">
        <f>0</f>
        <v>0</v>
      </c>
      <c r="CF73" s="1">
        <f>0</f>
        <v>0</v>
      </c>
      <c r="CH73" s="1">
        <f>0</f>
        <v>0</v>
      </c>
      <c r="CJ73" s="1">
        <f>0</f>
        <v>0</v>
      </c>
      <c r="CL73" s="1">
        <f>0</f>
        <v>0</v>
      </c>
      <c r="CN73" s="1">
        <f>0</f>
        <v>0</v>
      </c>
      <c r="CP73" s="1">
        <f>0</f>
        <v>0</v>
      </c>
      <c r="CR73" s="1">
        <f>0</f>
        <v>0</v>
      </c>
      <c r="CT73" s="1">
        <f>0</f>
        <v>0</v>
      </c>
      <c r="CV73" s="1">
        <f>0</f>
        <v>0</v>
      </c>
      <c r="CX73" s="1">
        <f>0</f>
        <v>0</v>
      </c>
      <c r="CZ73" s="1">
        <f>0</f>
        <v>0</v>
      </c>
      <c r="DB73" s="1">
        <f>0</f>
        <v>0</v>
      </c>
      <c r="DD73" s="1">
        <f>0</f>
        <v>0</v>
      </c>
      <c r="DF73" s="1">
        <f>0</f>
        <v>0</v>
      </c>
    </row>
    <row r="74" spans="4:111" ht="12.75" customHeight="1" thickBot="1">
      <c r="D74" s="2" t="s">
        <v>120</v>
      </c>
      <c r="E74" s="2"/>
      <c r="J74" s="1">
        <f>'Cash Flow'!I31</f>
        <v>0</v>
      </c>
      <c r="K74" s="42"/>
      <c r="L74" s="1">
        <f>'Cash Flow'!K31</f>
        <v>0</v>
      </c>
      <c r="M74" s="42"/>
      <c r="N74" s="1">
        <f>'Cash Flow'!M31</f>
        <v>0</v>
      </c>
      <c r="O74" s="42"/>
      <c r="P74" s="1">
        <f>'Cash Flow'!O31</f>
        <v>0</v>
      </c>
      <c r="Q74" s="42"/>
      <c r="R74" s="1">
        <f>'Cash Flow'!Q31</f>
        <v>0</v>
      </c>
      <c r="S74" s="42"/>
      <c r="T74" s="1">
        <f>'Cash Flow'!S31</f>
        <v>0</v>
      </c>
      <c r="U74" s="42"/>
      <c r="V74" s="1">
        <f>'Cash Flow'!U31</f>
        <v>0</v>
      </c>
      <c r="W74" s="42"/>
      <c r="X74" s="1">
        <f>'Cash Flow'!W31</f>
        <v>0</v>
      </c>
      <c r="Y74" s="42"/>
      <c r="Z74" s="1">
        <f>'Cash Flow'!Y31</f>
        <v>0</v>
      </c>
      <c r="AA74" s="42"/>
      <c r="AB74" s="1">
        <f>'Cash Flow'!AA31</f>
        <v>0</v>
      </c>
      <c r="AC74" s="42"/>
      <c r="AD74" s="1">
        <f>'Cash Flow'!AC31</f>
        <v>0</v>
      </c>
      <c r="AE74" s="42"/>
      <c r="AF74" s="1">
        <f>'Cash Flow'!AE31</f>
        <v>0</v>
      </c>
      <c r="AG74" s="42"/>
      <c r="AH74" s="1">
        <f>'Cash Flow'!AG31</f>
        <v>0</v>
      </c>
      <c r="AI74" s="42"/>
      <c r="AJ74" s="1">
        <f>'Cash Flow'!AI31</f>
        <v>0</v>
      </c>
      <c r="AK74" s="42"/>
      <c r="AL74" s="1">
        <f>'Cash Flow'!AK31</f>
        <v>0</v>
      </c>
      <c r="AM74" s="42"/>
      <c r="AN74" s="1">
        <f>'Cash Flow'!AM31</f>
        <v>0</v>
      </c>
      <c r="AO74" s="42"/>
      <c r="AP74" s="1">
        <f>'Cash Flow'!AO31</f>
        <v>0</v>
      </c>
      <c r="AQ74" s="42"/>
      <c r="AR74" s="1">
        <f>'Cash Flow'!AQ31</f>
        <v>0</v>
      </c>
      <c r="AS74" s="42"/>
      <c r="AT74" s="1">
        <f>'Cash Flow'!AS31</f>
        <v>0</v>
      </c>
      <c r="AU74" s="42"/>
      <c r="AV74" s="1">
        <f>'Cash Flow'!AU31</f>
        <v>0</v>
      </c>
      <c r="AW74" s="42"/>
      <c r="AX74" s="1">
        <f>'Cash Flow'!AW31</f>
        <v>0</v>
      </c>
      <c r="AY74" s="42"/>
      <c r="AZ74" s="1">
        <f>'Cash Flow'!AY31</f>
        <v>0</v>
      </c>
      <c r="BA74" s="42"/>
      <c r="BB74" s="1">
        <f>'Cash Flow'!BA31</f>
        <v>0</v>
      </c>
      <c r="BC74" s="42"/>
      <c r="BD74" s="1">
        <f>'Cash Flow'!BC31</f>
        <v>0</v>
      </c>
      <c r="BE74" s="42"/>
      <c r="BF74" s="1">
        <f>'Cash Flow'!BE31</f>
        <v>0</v>
      </c>
      <c r="BG74" s="42"/>
      <c r="BH74" s="1">
        <f>'Cash Flow'!BG31</f>
        <v>0</v>
      </c>
      <c r="BI74" s="42"/>
      <c r="BJ74" s="1">
        <f>'Cash Flow'!BI31</f>
        <v>0</v>
      </c>
      <c r="BK74" s="42"/>
      <c r="BL74" s="1">
        <f>'Cash Flow'!BK31</f>
        <v>0</v>
      </c>
      <c r="BM74" s="42"/>
      <c r="BN74" s="1">
        <f>'Cash Flow'!BM31</f>
        <v>0</v>
      </c>
      <c r="BO74" s="42"/>
      <c r="BP74" s="1">
        <f>'Cash Flow'!BO31</f>
        <v>0</v>
      </c>
      <c r="BQ74" s="42"/>
      <c r="BR74" s="1">
        <f>'Cash Flow'!BQ31</f>
        <v>0</v>
      </c>
      <c r="BS74" s="42"/>
      <c r="BT74" s="1">
        <f>'Cash Flow'!BS31</f>
        <v>0</v>
      </c>
      <c r="BU74" s="42"/>
      <c r="BV74" s="1">
        <f>'Cash Flow'!BU31</f>
        <v>0</v>
      </c>
      <c r="BW74" s="42"/>
      <c r="BX74" s="1">
        <f>'Cash Flow'!BW31</f>
        <v>0</v>
      </c>
      <c r="BY74" s="42"/>
      <c r="BZ74" s="1">
        <f>'Cash Flow'!BY31</f>
        <v>0</v>
      </c>
      <c r="CA74" s="42"/>
      <c r="CB74" s="1">
        <f>'Cash Flow'!CA31</f>
        <v>0</v>
      </c>
      <c r="CC74" s="42"/>
      <c r="CD74" s="1">
        <f>'Cash Flow'!CC31</f>
        <v>0</v>
      </c>
      <c r="CE74" s="42"/>
      <c r="CF74" s="1">
        <f>'Cash Flow'!CE31</f>
        <v>0</v>
      </c>
      <c r="CG74" s="42"/>
      <c r="CH74" s="1">
        <f>'Cash Flow'!CG31</f>
        <v>0</v>
      </c>
      <c r="CI74" s="42"/>
      <c r="CJ74" s="1">
        <f>'Cash Flow'!CI31</f>
        <v>0</v>
      </c>
      <c r="CK74" s="42"/>
      <c r="CL74" s="1">
        <f>'Cash Flow'!CK31</f>
        <v>0</v>
      </c>
      <c r="CM74" s="42"/>
      <c r="CN74" s="1">
        <f>'Cash Flow'!CM31</f>
        <v>0</v>
      </c>
      <c r="CO74" s="42"/>
      <c r="CP74" s="1">
        <f>'Cash Flow'!CO31</f>
        <v>0</v>
      </c>
      <c r="CQ74" s="42"/>
      <c r="CR74" s="1">
        <f>'Cash Flow'!CQ31</f>
        <v>0</v>
      </c>
      <c r="CS74" s="42"/>
      <c r="CT74" s="1">
        <f>'Cash Flow'!CS31</f>
        <v>0</v>
      </c>
      <c r="CU74" s="42"/>
      <c r="CV74" s="1">
        <f>'Cash Flow'!CU31</f>
        <v>0</v>
      </c>
      <c r="CW74" s="42"/>
      <c r="CX74" s="1">
        <f>'Cash Flow'!CW31</f>
        <v>0</v>
      </c>
      <c r="CY74" s="42"/>
      <c r="CZ74" s="1">
        <f>'Cash Flow'!CY31</f>
        <v>0</v>
      </c>
      <c r="DA74" s="42"/>
      <c r="DB74" s="1">
        <f>'Cash Flow'!DA31</f>
        <v>0</v>
      </c>
      <c r="DC74" s="42"/>
      <c r="DD74" s="1">
        <f>'Cash Flow'!DC31</f>
        <v>0</v>
      </c>
      <c r="DE74" s="42"/>
      <c r="DF74" s="1">
        <f>'Cash Flow'!DE31</f>
        <v>0</v>
      </c>
      <c r="DG74" s="42"/>
    </row>
    <row r="75" spans="3:110" ht="12.75" customHeight="1">
      <c r="C75" s="14" t="s">
        <v>124</v>
      </c>
      <c r="D75" s="62"/>
      <c r="E75" s="2"/>
      <c r="J75" s="61">
        <f>SUM(J72:J74)</f>
        <v>93569915.2542373</v>
      </c>
      <c r="K75" s="42"/>
      <c r="L75" s="61">
        <f>SUM(L72:L74)</f>
        <v>-731584.804015629</v>
      </c>
      <c r="N75" s="61">
        <f>SUM(N72:N74)</f>
        <v>-797427.4363770336</v>
      </c>
      <c r="P75" s="61">
        <f>SUM(P72:P74)</f>
        <v>-869195.9056509659</v>
      </c>
      <c r="R75" s="61">
        <f>SUM(R72:R74)</f>
        <v>-947423.5371595547</v>
      </c>
      <c r="T75" s="61">
        <f>SUM(T72:T74)</f>
        <v>-1032691.6555039175</v>
      </c>
      <c r="V75" s="61">
        <f>SUM(V72:V74)</f>
        <v>-1125633.90449927</v>
      </c>
      <c r="X75" s="61">
        <f>SUM(X72:X74)</f>
        <v>-1226940.9559042044</v>
      </c>
      <c r="Z75" s="61">
        <f>SUM(Z72:Z74)</f>
        <v>-1337365.6419355795</v>
      </c>
      <c r="AB75" s="61">
        <f>SUM(AB72:AB74)</f>
        <v>-1457728.549709782</v>
      </c>
      <c r="AD75" s="61">
        <f>SUM(AD72:AD74)</f>
        <v>-1588924.1191836633</v>
      </c>
      <c r="AF75" s="61">
        <f>SUM(AF72:AF74)</f>
        <v>-1731927.2899101935</v>
      </c>
      <c r="AH75" s="61">
        <f>SUM(AH72:AH74)</f>
        <v>-1887800.7460021116</v>
      </c>
      <c r="AJ75" s="61">
        <f>SUM(AJ72:AJ74)</f>
        <v>-2057702.8131422997</v>
      </c>
      <c r="AL75" s="61">
        <f>SUM(AL72:AL74)</f>
        <v>-2242896.0663251095</v>
      </c>
      <c r="AN75" s="61">
        <f>SUM(AN72:AN74)</f>
        <v>-2444756.71229437</v>
      </c>
      <c r="AP75" s="61">
        <f>SUM(AP72:AP74)</f>
        <v>-2664784.816400863</v>
      </c>
      <c r="AR75" s="61">
        <f>SUM(AR72:AR74)</f>
        <v>-2904615.4498769417</v>
      </c>
      <c r="AT75" s="61">
        <f>SUM(AT72:AT74)</f>
        <v>-3166030.8403658653</v>
      </c>
      <c r="AV75" s="61">
        <f>SUM(AV72:AV74)</f>
        <v>-3450973.615998793</v>
      </c>
      <c r="AX75" s="61">
        <f>SUM(AX72:AX74)</f>
        <v>-3761561.2414387795</v>
      </c>
      <c r="AZ75" s="61">
        <f>SUM(AZ72:AZ74)</f>
        <v>0</v>
      </c>
      <c r="BB75" s="61">
        <f>SUM(BB72:BB74)</f>
        <v>0</v>
      </c>
      <c r="BD75" s="61">
        <f>SUM(BD72:BD74)</f>
        <v>0</v>
      </c>
      <c r="BF75" s="61">
        <f>SUM(BF72:BF74)</f>
        <v>0</v>
      </c>
      <c r="BH75" s="61">
        <f>SUM(BH72:BH74)</f>
        <v>0</v>
      </c>
      <c r="BJ75" s="61">
        <f>SUM(BJ72:BJ74)</f>
        <v>0</v>
      </c>
      <c r="BL75" s="61">
        <f>SUM(BL72:BL74)</f>
        <v>0</v>
      </c>
      <c r="BN75" s="61">
        <f>SUM(BN72:BN74)</f>
        <v>0</v>
      </c>
      <c r="BP75" s="61">
        <f>SUM(BP72:BP74)</f>
        <v>0</v>
      </c>
      <c r="BR75" s="61">
        <f>SUM(BR72:BR74)</f>
        <v>0</v>
      </c>
      <c r="BT75" s="61">
        <f>SUM(BT72:BT74)</f>
        <v>0</v>
      </c>
      <c r="BV75" s="61">
        <f>SUM(BV72:BV74)</f>
        <v>0</v>
      </c>
      <c r="BX75" s="61">
        <f>SUM(BX72:BX74)</f>
        <v>0</v>
      </c>
      <c r="BZ75" s="61">
        <f>SUM(BZ72:BZ74)</f>
        <v>0</v>
      </c>
      <c r="CB75" s="61">
        <f>SUM(CB72:CB74)</f>
        <v>0</v>
      </c>
      <c r="CD75" s="61">
        <f>SUM(CD72:CD74)</f>
        <v>0</v>
      </c>
      <c r="CF75" s="61">
        <f>SUM(CF72:CF74)</f>
        <v>0</v>
      </c>
      <c r="CH75" s="61">
        <f>SUM(CH72:CH74)</f>
        <v>0</v>
      </c>
      <c r="CJ75" s="61">
        <f>SUM(CJ72:CJ74)</f>
        <v>0</v>
      </c>
      <c r="CL75" s="61">
        <f>SUM(CL72:CL74)</f>
        <v>0</v>
      </c>
      <c r="CN75" s="61">
        <f>SUM(CN72:CN74)</f>
        <v>0</v>
      </c>
      <c r="CP75" s="61">
        <f>SUM(CP72:CP74)</f>
        <v>0</v>
      </c>
      <c r="CR75" s="61">
        <f>SUM(CR72:CR74)</f>
        <v>0</v>
      </c>
      <c r="CT75" s="61">
        <f>SUM(CT72:CT74)</f>
        <v>0</v>
      </c>
      <c r="CV75" s="61">
        <f>SUM(CV72:CV74)</f>
        <v>0</v>
      </c>
      <c r="CX75" s="61">
        <f>SUM(CX72:CX74)</f>
        <v>0</v>
      </c>
      <c r="CZ75" s="61">
        <f>SUM(CZ72:CZ74)</f>
        <v>0</v>
      </c>
      <c r="DB75" s="61">
        <f>SUM(DB72:DB74)</f>
        <v>0</v>
      </c>
      <c r="DD75" s="61">
        <f>SUM(DD72:DD74)</f>
        <v>0</v>
      </c>
      <c r="DF75" s="61">
        <f>SUM(DF72:DF74)</f>
        <v>0</v>
      </c>
    </row>
    <row r="76" spans="4:110" ht="12.75" customHeight="1">
      <c r="D76" s="62"/>
      <c r="E76" s="2"/>
      <c r="J76" s="60"/>
      <c r="K76" s="42"/>
      <c r="L76" s="60"/>
      <c r="N76" s="60"/>
      <c r="P76" s="60"/>
      <c r="R76" s="60"/>
      <c r="T76" s="60"/>
      <c r="V76" s="60"/>
      <c r="X76" s="60"/>
      <c r="Z76" s="60"/>
      <c r="AB76" s="60"/>
      <c r="AD76" s="60"/>
      <c r="AF76" s="60"/>
      <c r="AH76" s="60"/>
      <c r="AJ76" s="60"/>
      <c r="AL76" s="60"/>
      <c r="AN76" s="60"/>
      <c r="AP76" s="60"/>
      <c r="AR76" s="60"/>
      <c r="AT76" s="60"/>
      <c r="AV76" s="60"/>
      <c r="AX76" s="60"/>
      <c r="AZ76" s="60"/>
      <c r="BB76" s="60"/>
      <c r="BD76" s="60"/>
      <c r="BF76" s="60"/>
      <c r="BH76" s="60"/>
      <c r="BJ76" s="60"/>
      <c r="BL76" s="60"/>
      <c r="BN76" s="60"/>
      <c r="BP76" s="60"/>
      <c r="BR76" s="60"/>
      <c r="BT76" s="60"/>
      <c r="BV76" s="60"/>
      <c r="BX76" s="60"/>
      <c r="BZ76" s="60"/>
      <c r="CB76" s="60"/>
      <c r="CD76" s="60"/>
      <c r="CF76" s="60"/>
      <c r="CH76" s="60"/>
      <c r="CJ76" s="60"/>
      <c r="CL76" s="60"/>
      <c r="CN76" s="60"/>
      <c r="CP76" s="60"/>
      <c r="CR76" s="60"/>
      <c r="CT76" s="60"/>
      <c r="CV76" s="60"/>
      <c r="CX76" s="60"/>
      <c r="CZ76" s="60"/>
      <c r="DB76" s="60"/>
      <c r="DD76" s="60"/>
      <c r="DF76" s="60"/>
    </row>
    <row r="77" spans="3:110" ht="12.75" customHeight="1">
      <c r="C77" s="2" t="s">
        <v>85</v>
      </c>
      <c r="D77" s="2"/>
      <c r="E77" s="2"/>
      <c r="J77" s="1"/>
      <c r="K77" s="42"/>
      <c r="L77" s="1"/>
      <c r="N77" s="1"/>
      <c r="P77" s="1"/>
      <c r="R77" s="1"/>
      <c r="T77" s="1"/>
      <c r="V77" s="1"/>
      <c r="X77" s="1"/>
      <c r="Z77" s="1"/>
      <c r="AB77" s="1"/>
      <c r="AD77" s="1"/>
      <c r="AF77" s="1"/>
      <c r="AH77" s="1"/>
      <c r="AJ77" s="1"/>
      <c r="AL77" s="1"/>
      <c r="AN77" s="1"/>
      <c r="AP77" s="1"/>
      <c r="AR77" s="1"/>
      <c r="AT77" s="1"/>
      <c r="AV77" s="1"/>
      <c r="AX77" s="1"/>
      <c r="AZ77" s="1"/>
      <c r="BB77" s="1"/>
      <c r="BD77" s="1"/>
      <c r="BF77" s="1"/>
      <c r="BH77" s="1"/>
      <c r="BJ77" s="1"/>
      <c r="BL77" s="1"/>
      <c r="BN77" s="1"/>
      <c r="BP77" s="1"/>
      <c r="BR77" s="1"/>
      <c r="BT77" s="1"/>
      <c r="BV77" s="1"/>
      <c r="BX77" s="1"/>
      <c r="BZ77" s="1"/>
      <c r="CB77" s="1"/>
      <c r="CD77" s="1"/>
      <c r="CF77" s="1"/>
      <c r="CH77" s="1"/>
      <c r="CJ77" s="1"/>
      <c r="CL77" s="1"/>
      <c r="CN77" s="1"/>
      <c r="CP77" s="1"/>
      <c r="CR77" s="1"/>
      <c r="CT77" s="1"/>
      <c r="CV77" s="1"/>
      <c r="CX77" s="1"/>
      <c r="CZ77" s="1"/>
      <c r="DB77" s="1"/>
      <c r="DD77" s="1"/>
      <c r="DF77" s="1"/>
    </row>
    <row r="78" spans="4:110" ht="12.75" customHeight="1">
      <c r="D78" s="2" t="s">
        <v>89</v>
      </c>
      <c r="E78" s="2"/>
      <c r="J78" s="1">
        <f>-'Enter and Change Data Here'!O22</f>
        <v>-84330000</v>
      </c>
      <c r="K78" s="42"/>
      <c r="L78" s="1">
        <f>0</f>
        <v>0</v>
      </c>
      <c r="N78" s="1">
        <f>0</f>
        <v>0</v>
      </c>
      <c r="P78" s="1">
        <f>0</f>
        <v>0</v>
      </c>
      <c r="R78" s="1">
        <f>0</f>
        <v>0</v>
      </c>
      <c r="T78" s="1">
        <f>0</f>
        <v>0</v>
      </c>
      <c r="V78" s="1">
        <f>0</f>
        <v>0</v>
      </c>
      <c r="X78" s="1">
        <f>0</f>
        <v>0</v>
      </c>
      <c r="Z78" s="1">
        <f>0</f>
        <v>0</v>
      </c>
      <c r="AB78" s="1">
        <f>0</f>
        <v>0</v>
      </c>
      <c r="AD78" s="1">
        <f>0</f>
        <v>0</v>
      </c>
      <c r="AF78" s="1">
        <f>0</f>
        <v>0</v>
      </c>
      <c r="AH78" s="1">
        <f>0</f>
        <v>0</v>
      </c>
      <c r="AJ78" s="1">
        <f>0</f>
        <v>0</v>
      </c>
      <c r="AL78" s="1">
        <f>0</f>
        <v>0</v>
      </c>
      <c r="AN78" s="1">
        <f>0</f>
        <v>0</v>
      </c>
      <c r="AP78" s="1">
        <f>0</f>
        <v>0</v>
      </c>
      <c r="AR78" s="1">
        <f>0</f>
        <v>0</v>
      </c>
      <c r="AT78" s="1">
        <f>0</f>
        <v>0</v>
      </c>
      <c r="AV78" s="1">
        <f>0</f>
        <v>0</v>
      </c>
      <c r="AX78" s="1">
        <f>0</f>
        <v>0</v>
      </c>
      <c r="AZ78" s="1">
        <f>0</f>
        <v>0</v>
      </c>
      <c r="BB78" s="1">
        <f>0</f>
        <v>0</v>
      </c>
      <c r="BD78" s="1">
        <f>0</f>
        <v>0</v>
      </c>
      <c r="BF78" s="1">
        <f>0</f>
        <v>0</v>
      </c>
      <c r="BH78" s="1">
        <f>0</f>
        <v>0</v>
      </c>
      <c r="BJ78" s="1">
        <f>0</f>
        <v>0</v>
      </c>
      <c r="BL78" s="1">
        <f>0</f>
        <v>0</v>
      </c>
      <c r="BN78" s="1">
        <f>0</f>
        <v>0</v>
      </c>
      <c r="BP78" s="1">
        <f>0</f>
        <v>0</v>
      </c>
      <c r="BR78" s="1">
        <f>0</f>
        <v>0</v>
      </c>
      <c r="BT78" s="1">
        <f>0</f>
        <v>0</v>
      </c>
      <c r="BV78" s="1">
        <f>0</f>
        <v>0</v>
      </c>
      <c r="BX78" s="1">
        <f>0</f>
        <v>0</v>
      </c>
      <c r="BZ78" s="1">
        <f>0</f>
        <v>0</v>
      </c>
      <c r="CB78" s="1">
        <f>0</f>
        <v>0</v>
      </c>
      <c r="CD78" s="1">
        <f>0</f>
        <v>0</v>
      </c>
      <c r="CF78" s="1">
        <f>0</f>
        <v>0</v>
      </c>
      <c r="CH78" s="1">
        <f>0</f>
        <v>0</v>
      </c>
      <c r="CJ78" s="1">
        <f>0</f>
        <v>0</v>
      </c>
      <c r="CL78" s="1">
        <f>0</f>
        <v>0</v>
      </c>
      <c r="CN78" s="1">
        <f>0</f>
        <v>0</v>
      </c>
      <c r="CP78" s="1">
        <f>0</f>
        <v>0</v>
      </c>
      <c r="CR78" s="1">
        <f>0</f>
        <v>0</v>
      </c>
      <c r="CT78" s="1">
        <f>0</f>
        <v>0</v>
      </c>
      <c r="CV78" s="1">
        <f>0</f>
        <v>0</v>
      </c>
      <c r="CX78" s="1">
        <f>0</f>
        <v>0</v>
      </c>
      <c r="CZ78" s="1">
        <f>0</f>
        <v>0</v>
      </c>
      <c r="DB78" s="1">
        <f>0</f>
        <v>0</v>
      </c>
      <c r="DD78" s="1">
        <f>0</f>
        <v>0</v>
      </c>
      <c r="DF78" s="1">
        <f>0</f>
        <v>0</v>
      </c>
    </row>
    <row r="79" spans="4:110" ht="12.75" customHeight="1" thickBot="1">
      <c r="D79" s="8" t="s">
        <v>76</v>
      </c>
      <c r="E79" s="2"/>
      <c r="J79" s="1">
        <f>-'Enter and Change Data Here'!O23-'Enter and Change Data Here'!O24</f>
        <v>-5239915.254237289</v>
      </c>
      <c r="K79" s="42"/>
      <c r="L79" s="1">
        <f>0</f>
        <v>0</v>
      </c>
      <c r="N79" s="1">
        <f>0</f>
        <v>0</v>
      </c>
      <c r="P79" s="1">
        <f>0</f>
        <v>0</v>
      </c>
      <c r="R79" s="1">
        <f>0</f>
        <v>0</v>
      </c>
      <c r="T79" s="1">
        <f>0</f>
        <v>0</v>
      </c>
      <c r="V79" s="1">
        <f>0</f>
        <v>0</v>
      </c>
      <c r="X79" s="1">
        <f>0</f>
        <v>0</v>
      </c>
      <c r="Z79" s="1">
        <f>0</f>
        <v>0</v>
      </c>
      <c r="AB79" s="1">
        <f>0</f>
        <v>0</v>
      </c>
      <c r="AD79" s="1">
        <f>0</f>
        <v>0</v>
      </c>
      <c r="AF79" s="1">
        <f>0</f>
        <v>0</v>
      </c>
      <c r="AH79" s="1">
        <f>0</f>
        <v>0</v>
      </c>
      <c r="AJ79" s="1">
        <f>0</f>
        <v>0</v>
      </c>
      <c r="AL79" s="1">
        <f>0</f>
        <v>0</v>
      </c>
      <c r="AN79" s="1">
        <f>0</f>
        <v>0</v>
      </c>
      <c r="AP79" s="1">
        <f>0</f>
        <v>0</v>
      </c>
      <c r="AR79" s="1">
        <f>0</f>
        <v>0</v>
      </c>
      <c r="AT79" s="1">
        <f>0</f>
        <v>0</v>
      </c>
      <c r="AV79" s="1">
        <f>0</f>
        <v>0</v>
      </c>
      <c r="AX79" s="1">
        <f>0</f>
        <v>0</v>
      </c>
      <c r="AZ79" s="1">
        <f>0</f>
        <v>0</v>
      </c>
      <c r="BB79" s="1">
        <f>0</f>
        <v>0</v>
      </c>
      <c r="BD79" s="1">
        <f>0</f>
        <v>0</v>
      </c>
      <c r="BF79" s="1">
        <f>0</f>
        <v>0</v>
      </c>
      <c r="BH79" s="1">
        <f>0</f>
        <v>0</v>
      </c>
      <c r="BJ79" s="1">
        <f>0</f>
        <v>0</v>
      </c>
      <c r="BL79" s="1">
        <f>0</f>
        <v>0</v>
      </c>
      <c r="BN79" s="1">
        <f>0</f>
        <v>0</v>
      </c>
      <c r="BP79" s="1">
        <f>0</f>
        <v>0</v>
      </c>
      <c r="BR79" s="1">
        <f>0</f>
        <v>0</v>
      </c>
      <c r="BT79" s="1">
        <f>0</f>
        <v>0</v>
      </c>
      <c r="BV79" s="1">
        <f>0</f>
        <v>0</v>
      </c>
      <c r="BX79" s="1">
        <f>0</f>
        <v>0</v>
      </c>
      <c r="BZ79" s="1">
        <f>0</f>
        <v>0</v>
      </c>
      <c r="CB79" s="1">
        <f>0</f>
        <v>0</v>
      </c>
      <c r="CD79" s="1">
        <f>0</f>
        <v>0</v>
      </c>
      <c r="CF79" s="1">
        <f>0</f>
        <v>0</v>
      </c>
      <c r="CH79" s="1">
        <f>0</f>
        <v>0</v>
      </c>
      <c r="CJ79" s="1">
        <f>0</f>
        <v>0</v>
      </c>
      <c r="CL79" s="1">
        <f>0</f>
        <v>0</v>
      </c>
      <c r="CN79" s="1">
        <f>0</f>
        <v>0</v>
      </c>
      <c r="CP79" s="1">
        <f>0</f>
        <v>0</v>
      </c>
      <c r="CR79" s="1">
        <f>0</f>
        <v>0</v>
      </c>
      <c r="CT79" s="1">
        <f>0</f>
        <v>0</v>
      </c>
      <c r="CV79" s="1">
        <f>0</f>
        <v>0</v>
      </c>
      <c r="CX79" s="1">
        <f>0</f>
        <v>0</v>
      </c>
      <c r="CZ79" s="1">
        <f>0</f>
        <v>0</v>
      </c>
      <c r="DB79" s="1">
        <f>0</f>
        <v>0</v>
      </c>
      <c r="DD79" s="1">
        <f>0</f>
        <v>0</v>
      </c>
      <c r="DF79" s="1">
        <f>0</f>
        <v>0</v>
      </c>
    </row>
    <row r="80" spans="3:110" ht="12.75" customHeight="1">
      <c r="C80" s="14" t="s">
        <v>125</v>
      </c>
      <c r="D80" s="8"/>
      <c r="E80" s="2"/>
      <c r="J80" s="61">
        <f>SUM(J78:J79)</f>
        <v>-89569915.2542373</v>
      </c>
      <c r="K80" s="42"/>
      <c r="L80" s="61">
        <f>SUM(L78:L79)</f>
        <v>0</v>
      </c>
      <c r="N80" s="61">
        <f>SUM(N78:N79)</f>
        <v>0</v>
      </c>
      <c r="P80" s="61">
        <f>SUM(P78:P79)</f>
        <v>0</v>
      </c>
      <c r="R80" s="61">
        <f>SUM(R78:R79)</f>
        <v>0</v>
      </c>
      <c r="T80" s="61">
        <f>SUM(T78:T79)</f>
        <v>0</v>
      </c>
      <c r="V80" s="61">
        <f>SUM(V78:V79)</f>
        <v>0</v>
      </c>
      <c r="X80" s="61">
        <f>SUM(X78:X79)</f>
        <v>0</v>
      </c>
      <c r="Z80" s="61">
        <f>SUM(Z78:Z79)</f>
        <v>0</v>
      </c>
      <c r="AB80" s="61">
        <f>SUM(AB78:AB79)</f>
        <v>0</v>
      </c>
      <c r="AD80" s="61">
        <f>SUM(AD78:AD79)</f>
        <v>0</v>
      </c>
      <c r="AF80" s="61">
        <f>SUM(AF78:AF79)</f>
        <v>0</v>
      </c>
      <c r="AH80" s="61">
        <f>SUM(AH78:AH79)</f>
        <v>0</v>
      </c>
      <c r="AJ80" s="61">
        <f>SUM(AJ78:AJ79)</f>
        <v>0</v>
      </c>
      <c r="AL80" s="61">
        <f>SUM(AL78:AL79)</f>
        <v>0</v>
      </c>
      <c r="AN80" s="61">
        <f>SUM(AN78:AN79)</f>
        <v>0</v>
      </c>
      <c r="AP80" s="61">
        <f>SUM(AP78:AP79)</f>
        <v>0</v>
      </c>
      <c r="AR80" s="61">
        <f>SUM(AR78:AR79)</f>
        <v>0</v>
      </c>
      <c r="AT80" s="61">
        <f>SUM(AT78:AT79)</f>
        <v>0</v>
      </c>
      <c r="AV80" s="61">
        <f>SUM(AV78:AV79)</f>
        <v>0</v>
      </c>
      <c r="AX80" s="61">
        <f>SUM(AX78:AX79)</f>
        <v>0</v>
      </c>
      <c r="AZ80" s="61">
        <f>SUM(AZ78:AZ79)</f>
        <v>0</v>
      </c>
      <c r="BB80" s="61">
        <f>SUM(BB78:BB79)</f>
        <v>0</v>
      </c>
      <c r="BD80" s="61">
        <f>SUM(BD78:BD79)</f>
        <v>0</v>
      </c>
      <c r="BF80" s="61">
        <f>SUM(BF78:BF79)</f>
        <v>0</v>
      </c>
      <c r="BH80" s="61">
        <f>SUM(BH78:BH79)</f>
        <v>0</v>
      </c>
      <c r="BJ80" s="61">
        <f>SUM(BJ78:BJ79)</f>
        <v>0</v>
      </c>
      <c r="BL80" s="61">
        <f>SUM(BL78:BL79)</f>
        <v>0</v>
      </c>
      <c r="BN80" s="61">
        <f>SUM(BN78:BN79)</f>
        <v>0</v>
      </c>
      <c r="BP80" s="61">
        <f>SUM(BP78:BP79)</f>
        <v>0</v>
      </c>
      <c r="BR80" s="61">
        <f>SUM(BR78:BR79)</f>
        <v>0</v>
      </c>
      <c r="BT80" s="61">
        <f>SUM(BT78:BT79)</f>
        <v>0</v>
      </c>
      <c r="BV80" s="61">
        <f>SUM(BV78:BV79)</f>
        <v>0</v>
      </c>
      <c r="BX80" s="61">
        <f>SUM(BX78:BX79)</f>
        <v>0</v>
      </c>
      <c r="BZ80" s="61">
        <f>SUM(BZ78:BZ79)</f>
        <v>0</v>
      </c>
      <c r="CB80" s="61">
        <f>SUM(CB78:CB79)</f>
        <v>0</v>
      </c>
      <c r="CD80" s="61">
        <f>SUM(CD78:CD79)</f>
        <v>0</v>
      </c>
      <c r="CF80" s="61">
        <f>SUM(CF78:CF79)</f>
        <v>0</v>
      </c>
      <c r="CH80" s="61">
        <f>SUM(CH78:CH79)</f>
        <v>0</v>
      </c>
      <c r="CJ80" s="61">
        <f>SUM(CJ78:CJ79)</f>
        <v>0</v>
      </c>
      <c r="CL80" s="61">
        <f>SUM(CL78:CL79)</f>
        <v>0</v>
      </c>
      <c r="CN80" s="61">
        <f>SUM(CN78:CN79)</f>
        <v>0</v>
      </c>
      <c r="CP80" s="61">
        <f>SUM(CP78:CP79)</f>
        <v>0</v>
      </c>
      <c r="CR80" s="61">
        <f>SUM(CR78:CR79)</f>
        <v>0</v>
      </c>
      <c r="CT80" s="61">
        <f>SUM(CT78:CT79)</f>
        <v>0</v>
      </c>
      <c r="CV80" s="61">
        <f>SUM(CV78:CV79)</f>
        <v>0</v>
      </c>
      <c r="CX80" s="61">
        <f>SUM(CX78:CX79)</f>
        <v>0</v>
      </c>
      <c r="CZ80" s="61">
        <f>SUM(CZ78:CZ79)</f>
        <v>0</v>
      </c>
      <c r="DB80" s="61">
        <f>SUM(DB78:DB79)</f>
        <v>0</v>
      </c>
      <c r="DD80" s="61">
        <f>SUM(DD78:DD79)</f>
        <v>0</v>
      </c>
      <c r="DF80" s="61">
        <f>SUM(DF78:DF79)</f>
        <v>0</v>
      </c>
    </row>
    <row r="81" spans="4:110" ht="12.75" customHeight="1" thickBot="1">
      <c r="D81" s="8"/>
      <c r="E81" s="2"/>
      <c r="J81" s="1"/>
      <c r="K81" s="42"/>
      <c r="L81" s="1"/>
      <c r="N81" s="1"/>
      <c r="P81" s="1"/>
      <c r="R81" s="1"/>
      <c r="T81" s="1"/>
      <c r="V81" s="1"/>
      <c r="X81" s="1"/>
      <c r="Z81" s="1"/>
      <c r="AB81" s="1"/>
      <c r="AD81" s="1"/>
      <c r="AF81" s="1"/>
      <c r="AH81" s="1"/>
      <c r="AJ81" s="1"/>
      <c r="AL81" s="1"/>
      <c r="AN81" s="1"/>
      <c r="AP81" s="1"/>
      <c r="AR81" s="1"/>
      <c r="AT81" s="1"/>
      <c r="AV81" s="1"/>
      <c r="AX81" s="1"/>
      <c r="AZ81" s="1"/>
      <c r="BB81" s="1"/>
      <c r="BD81" s="1"/>
      <c r="BF81" s="1"/>
      <c r="BH81" s="1"/>
      <c r="BJ81" s="1"/>
      <c r="BL81" s="1"/>
      <c r="BN81" s="1"/>
      <c r="BP81" s="1"/>
      <c r="BR81" s="1"/>
      <c r="BT81" s="1"/>
      <c r="BV81" s="1"/>
      <c r="BX81" s="1"/>
      <c r="BZ81" s="1"/>
      <c r="CB81" s="1"/>
      <c r="CD81" s="1"/>
      <c r="CF81" s="1"/>
      <c r="CH81" s="1"/>
      <c r="CJ81" s="1"/>
      <c r="CL81" s="1"/>
      <c r="CN81" s="1"/>
      <c r="CP81" s="1"/>
      <c r="CR81" s="1"/>
      <c r="CT81" s="1"/>
      <c r="CV81" s="1"/>
      <c r="CX81" s="1"/>
      <c r="CZ81" s="1"/>
      <c r="DB81" s="1"/>
      <c r="DD81" s="1"/>
      <c r="DF81" s="1"/>
    </row>
    <row r="82" spans="3:111" ht="12.75" customHeight="1">
      <c r="C82" s="14" t="s">
        <v>92</v>
      </c>
      <c r="D82" s="8"/>
      <c r="E82" s="2"/>
      <c r="J82" s="61">
        <f>IF(ABS(J69+J75+J80)&lt;0.05,0,J69+J75+J80)</f>
        <v>1000000</v>
      </c>
      <c r="K82" s="42"/>
      <c r="L82" s="61">
        <f>IF(ABS(L69+L75+L80)&lt;0.05,0,L69+L75+L80)</f>
        <v>7406762.246831828</v>
      </c>
      <c r="M82" s="42"/>
      <c r="N82" s="61">
        <f>IF(ABS(N69+N75+N80)&lt;0.05,0,N69+N75+N80)</f>
        <v>9392269.971768463</v>
      </c>
      <c r="O82" s="42"/>
      <c r="P82" s="61">
        <f>IF(ABS(P69+P75+P80)&lt;0.05,0,P69+P75+P80)</f>
        <v>10566299.275203837</v>
      </c>
      <c r="Q82" s="42"/>
      <c r="R82" s="61">
        <f>IF(ABS(R69+R75+R80)&lt;0.05,0,R69+R75+R80)</f>
        <v>10886541.920547912</v>
      </c>
      <c r="S82" s="42"/>
      <c r="T82" s="61">
        <f>IF(ABS(T69+T75+T80)&lt;0.05,0,T69+T75+T80)</f>
        <v>11213594.834517267</v>
      </c>
      <c r="U82" s="42"/>
      <c r="V82" s="61">
        <f>IF(ABS(V69+V75+V80)&lt;0.05,0,V69+V75+V80)</f>
        <v>11547584.601623993</v>
      </c>
      <c r="W82" s="42"/>
      <c r="X82" s="61">
        <f>IF(ABS(X69+X75+X80)&lt;0.05,0,X69+X75+X80)</f>
        <v>11888639.968361475</v>
      </c>
      <c r="Y82" s="42"/>
      <c r="Z82" s="61">
        <f>IF(ABS(Z69+Z75+Z80)&lt;0.05,0,Z69+Z75+Z80)</f>
        <v>11982118.564100675</v>
      </c>
      <c r="AA82" s="42"/>
      <c r="AB82" s="61">
        <f>IF(ABS(AB69+AB75+AB80)&lt;0.05,0,AB69+AB75+AB80)</f>
        <v>6969335.401272465</v>
      </c>
      <c r="AC82" s="42"/>
      <c r="AD82" s="61">
        <f>IF(ABS(AD69+AD75+AD80)&lt;0.05,0,AD69+AD75+AD80)</f>
        <v>7067207.583306959</v>
      </c>
      <c r="AE82" s="42"/>
      <c r="AF82" s="61">
        <f>IF(ABS(AF69+AF75+AF80)&lt;0.05,0,AF69+AF75+AF80)</f>
        <v>7161736.366147779</v>
      </c>
      <c r="AG82" s="42"/>
      <c r="AH82" s="61">
        <f>IF(ABS(AH69+AH75+AH80)&lt;0.05,0,AH69+AH75+AH80)</f>
        <v>7252449.366936188</v>
      </c>
      <c r="AI82" s="42"/>
      <c r="AJ82" s="61">
        <f>IF(ABS(AJ69+AJ75+AJ80)&lt;0.05,0,AJ69+AJ75+AJ80)</f>
        <v>7338830.020903377</v>
      </c>
      <c r="AK82" s="42"/>
      <c r="AL82" s="61">
        <f>IF(ABS(AL69+AL75+AL80)&lt;0.05,0,AL69+AL75+AL80)</f>
        <v>7420313.601828035</v>
      </c>
      <c r="AM82" s="42"/>
      <c r="AN82" s="61">
        <f>IF(ABS(AN69+AN75+AN80)&lt;0.05,0,AN69+AN75+AN80)</f>
        <v>7496282.884724248</v>
      </c>
      <c r="AO82" s="42"/>
      <c r="AP82" s="61">
        <f>IF(ABS(AP69+AP75+AP80)&lt;0.05,0,AP69+AP75+AP80)</f>
        <v>7566063.418574417</v>
      </c>
      <c r="AQ82" s="42"/>
      <c r="AR82" s="61">
        <f>IF(ABS(AR69+AR75+AR80)&lt;0.05,0,AR69+AR75+AR80)</f>
        <v>7628918.37402587</v>
      </c>
      <c r="AS82" s="42"/>
      <c r="AT82" s="61">
        <f>IF(ABS(AT69+AT75+AT80)&lt;0.05,0,AT69+AT75+AT80)</f>
        <v>7684042.9278126275</v>
      </c>
      <c r="AU82" s="42"/>
      <c r="AV82" s="61">
        <f>IF(ABS(AV69+AV75+AV80)&lt;0.05,0,AV69+AV75+AV80)</f>
        <v>7730558.142222924</v>
      </c>
      <c r="AW82" s="42"/>
      <c r="AX82" s="61">
        <f>IF(ABS(AX69+AX75+AX80)&lt;0.05,0,AX69+AX75+AX80)</f>
        <v>7767504.294182152</v>
      </c>
      <c r="AY82" s="42"/>
      <c r="AZ82" s="61">
        <f>IF(ABS(AZ69+AZ75+AZ80)&lt;0.05,0,AZ69+AZ75+AZ80)</f>
        <v>11893935.357601352</v>
      </c>
      <c r="BA82" s="42"/>
      <c r="BB82" s="61">
        <f>IF(ABS(BB69+BB75+BB80)&lt;0.05,0,BB69+BB75+BB80)</f>
        <v>12105308.950157685</v>
      </c>
      <c r="BC82" s="42"/>
      <c r="BD82" s="61">
        <f>IF(ABS(BD69+BD75+BD80)&lt;0.05,0,BD69+BD75+BD80)</f>
        <v>12319319.550730165</v>
      </c>
      <c r="BE82" s="42"/>
      <c r="BF82" s="61">
        <f>IF(ABS(BF69+BF75+BF80)&lt;0.05,0,BF69+BF75+BF80)</f>
        <v>12535988.089888493</v>
      </c>
      <c r="BG82" s="42"/>
      <c r="BH82" s="61">
        <f>IF(ABS(BH69+BH75+BH80)&lt;0.05,0,BH69+BH75+BH80)</f>
        <v>12755335.40785844</v>
      </c>
      <c r="BI82" s="42"/>
      <c r="BJ82" s="61">
        <f>IF(ABS(BJ69+BJ75+BJ80)&lt;0.05,0,BJ69+BJ75+BJ80)</f>
        <v>0</v>
      </c>
      <c r="BK82" s="42"/>
      <c r="BL82" s="61">
        <f>IF(ABS(BL69+BL75+BL80)&lt;0.05,0,BL69+BL75+BL80)</f>
        <v>0</v>
      </c>
      <c r="BM82" s="42"/>
      <c r="BN82" s="61">
        <f>IF(ABS(BN69+BN75+BN80)&lt;0.05,0,BN69+BN75+BN80)</f>
        <v>0</v>
      </c>
      <c r="BO82" s="42"/>
      <c r="BP82" s="61">
        <f>IF(ABS(BP69+BP75+BP80)&lt;0.05,0,BP69+BP75+BP80)</f>
        <v>0</v>
      </c>
      <c r="BQ82" s="42"/>
      <c r="BR82" s="61">
        <f>IF(ABS(BR69+BR75+BR80)&lt;0.05,0,BR69+BR75+BR80)</f>
        <v>0</v>
      </c>
      <c r="BS82" s="42"/>
      <c r="BT82" s="61">
        <f>IF(ABS(BT69+BT75+BT80)&lt;0.05,0,BT69+BT75+BT80)</f>
        <v>0</v>
      </c>
      <c r="BU82" s="42"/>
      <c r="BV82" s="61">
        <f>IF(ABS(BV69+BV75+BV80)&lt;0.05,0,BV69+BV75+BV80)</f>
        <v>0</v>
      </c>
      <c r="BW82" s="42"/>
      <c r="BX82" s="61">
        <f>IF(ABS(BX69+BX75+BX80)&lt;0.05,0,BX69+BX75+BX80)</f>
        <v>0</v>
      </c>
      <c r="BY82" s="42"/>
      <c r="BZ82" s="61">
        <f>IF(ABS(BZ69+BZ75+BZ80)&lt;0.05,0,BZ69+BZ75+BZ80)</f>
        <v>0</v>
      </c>
      <c r="CA82" s="42"/>
      <c r="CB82" s="61">
        <f>IF(ABS(CB69+CB75+CB80)&lt;0.05,0,CB69+CB75+CB80)</f>
        <v>0</v>
      </c>
      <c r="CC82" s="42"/>
      <c r="CD82" s="61">
        <f>IF(ABS(CD69+CD75+CD80)&lt;0.05,0,CD69+CD75+CD80)</f>
        <v>0</v>
      </c>
      <c r="CE82" s="42"/>
      <c r="CF82" s="61">
        <f>IF(ABS(CF69+CF75+CF80)&lt;0.05,0,CF69+CF75+CF80)</f>
        <v>0</v>
      </c>
      <c r="CG82" s="42"/>
      <c r="CH82" s="61">
        <f>IF(ABS(CH69+CH75+CH80)&lt;0.05,0,CH69+CH75+CH80)</f>
        <v>0</v>
      </c>
      <c r="CI82" s="42"/>
      <c r="CJ82" s="61">
        <f>IF(ABS(CJ69+CJ75+CJ80)&lt;0.05,0,CJ69+CJ75+CJ80)</f>
        <v>0</v>
      </c>
      <c r="CK82" s="42"/>
      <c r="CL82" s="61">
        <f>IF(ABS(CL69+CL75+CL80)&lt;0.05,0,CL69+CL75+CL80)</f>
        <v>0</v>
      </c>
      <c r="CM82" s="42"/>
      <c r="CN82" s="61">
        <f>IF(ABS(CN69+CN75+CN80)&lt;0.05,0,CN69+CN75+CN80)</f>
        <v>0</v>
      </c>
      <c r="CO82" s="42"/>
      <c r="CP82" s="61">
        <f>IF(ABS(CP69+CP75+CP80)&lt;0.05,0,CP69+CP75+CP80)</f>
        <v>0</v>
      </c>
      <c r="CQ82" s="42"/>
      <c r="CR82" s="61">
        <f>IF(ABS(CR69+CR75+CR80)&lt;0.05,0,CR69+CR75+CR80)</f>
        <v>0</v>
      </c>
      <c r="CS82" s="42"/>
      <c r="CT82" s="61">
        <f>IF(ABS(CT69+CT75+CT80)&lt;0.05,0,CT69+CT75+CT80)</f>
        <v>0</v>
      </c>
      <c r="CU82" s="42"/>
      <c r="CV82" s="61">
        <f>IF(ABS(CV69+CV75+CV80)&lt;0.05,0,CV69+CV75+CV80)</f>
        <v>0</v>
      </c>
      <c r="CW82" s="42"/>
      <c r="CX82" s="61">
        <f>IF(ABS(CX69+CX75+CX80)&lt;0.05,0,CX69+CX75+CX80)</f>
        <v>0</v>
      </c>
      <c r="CY82" s="42"/>
      <c r="CZ82" s="61">
        <f>IF(ABS(CZ69+CZ75+CZ80)&lt;0.05,0,CZ69+CZ75+CZ80)</f>
        <v>0</v>
      </c>
      <c r="DA82" s="42"/>
      <c r="DB82" s="61">
        <f>IF(ABS(DB69+DB75+DB80)&lt;0.05,0,DB69+DB75+DB80)</f>
        <v>0</v>
      </c>
      <c r="DC82" s="42"/>
      <c r="DD82" s="61">
        <f>IF(ABS(DD69+DD75+DD80)&lt;0.05,0,DD69+DD75+DD80)</f>
        <v>0</v>
      </c>
      <c r="DE82" s="42"/>
      <c r="DF82" s="61">
        <f>IF(ABS(DF69+DF75+DF80)&lt;0.05,0,DF69+DF75+DF80)</f>
        <v>0</v>
      </c>
      <c r="DG82" s="42"/>
    </row>
    <row r="83" spans="4:111" ht="12.75" customHeight="1">
      <c r="D83" s="8"/>
      <c r="E83" s="2"/>
      <c r="J83" s="1"/>
      <c r="K83" s="42"/>
      <c r="L83" s="1"/>
      <c r="M83" s="42"/>
      <c r="N83" s="1"/>
      <c r="O83" s="42"/>
      <c r="P83" s="1"/>
      <c r="Q83" s="42"/>
      <c r="R83" s="1"/>
      <c r="S83" s="42"/>
      <c r="T83" s="1"/>
      <c r="U83" s="42"/>
      <c r="V83" s="1"/>
      <c r="W83" s="42"/>
      <c r="X83" s="1"/>
      <c r="Y83" s="42"/>
      <c r="Z83" s="1"/>
      <c r="AA83" s="42"/>
      <c r="AB83" s="1"/>
      <c r="AC83" s="42"/>
      <c r="AD83" s="1"/>
      <c r="AE83" s="42"/>
      <c r="AF83" s="1"/>
      <c r="AG83" s="42"/>
      <c r="AH83" s="1"/>
      <c r="AI83" s="42"/>
      <c r="AJ83" s="1"/>
      <c r="AK83" s="42"/>
      <c r="AL83" s="1"/>
      <c r="AM83" s="42"/>
      <c r="AN83" s="1"/>
      <c r="AO83" s="42"/>
      <c r="AP83" s="1"/>
      <c r="AQ83" s="42"/>
      <c r="AR83" s="1"/>
      <c r="AS83" s="42"/>
      <c r="AT83" s="1"/>
      <c r="AU83" s="42"/>
      <c r="AV83" s="1"/>
      <c r="AW83" s="42"/>
      <c r="AX83" s="1"/>
      <c r="AY83" s="42"/>
      <c r="AZ83" s="1"/>
      <c r="BA83" s="42"/>
      <c r="BB83" s="1"/>
      <c r="BC83" s="42"/>
      <c r="BD83" s="1"/>
      <c r="BE83" s="42"/>
      <c r="BF83" s="1"/>
      <c r="BG83" s="42"/>
      <c r="BH83" s="1"/>
      <c r="BI83" s="42"/>
      <c r="BJ83" s="1"/>
      <c r="BK83" s="42"/>
      <c r="BL83" s="1"/>
      <c r="BM83" s="42"/>
      <c r="BN83" s="1"/>
      <c r="BO83" s="42"/>
      <c r="BP83" s="1"/>
      <c r="BQ83" s="42"/>
      <c r="BR83" s="1"/>
      <c r="BS83" s="42"/>
      <c r="BT83" s="1"/>
      <c r="BU83" s="42"/>
      <c r="BV83" s="1"/>
      <c r="BW83" s="42"/>
      <c r="BX83" s="1"/>
      <c r="BY83" s="42"/>
      <c r="BZ83" s="1"/>
      <c r="CA83" s="42"/>
      <c r="CB83" s="1"/>
      <c r="CC83" s="42"/>
      <c r="CD83" s="1"/>
      <c r="CE83" s="42"/>
      <c r="CF83" s="1"/>
      <c r="CG83" s="42"/>
      <c r="CH83" s="1"/>
      <c r="CI83" s="42"/>
      <c r="CJ83" s="1"/>
      <c r="CK83" s="42"/>
      <c r="CL83" s="1"/>
      <c r="CM83" s="42"/>
      <c r="CN83" s="1"/>
      <c r="CO83" s="42"/>
      <c r="CP83" s="1"/>
      <c r="CQ83" s="42"/>
      <c r="CR83" s="1"/>
      <c r="CS83" s="42"/>
      <c r="CT83" s="1"/>
      <c r="CU83" s="42"/>
      <c r="CV83" s="1"/>
      <c r="CW83" s="42"/>
      <c r="CX83" s="1"/>
      <c r="CY83" s="42"/>
      <c r="CZ83" s="1"/>
      <c r="DA83" s="42"/>
      <c r="DB83" s="1"/>
      <c r="DC83" s="42"/>
      <c r="DD83" s="1"/>
      <c r="DE83" s="42"/>
      <c r="DF83" s="1"/>
      <c r="DG83" s="42"/>
    </row>
    <row r="84" spans="3:110" ht="12.75" customHeight="1">
      <c r="C84" s="14" t="s">
        <v>87</v>
      </c>
      <c r="D84" s="2"/>
      <c r="E84" s="2"/>
      <c r="J84" s="34">
        <f>IF(J3-'Enter and Change Data Here'!$G$12&lt;='Enter and Change Data Here'!$G$26,F86,0)</f>
        <v>0</v>
      </c>
      <c r="L84" s="34">
        <f>IF(L3-'Enter and Change Data Here'!$G$12&lt;='Enter and Change Data Here'!$G$26,J86,0)</f>
        <v>1000000</v>
      </c>
      <c r="N84" s="34">
        <f>IF(N3-'Enter and Change Data Here'!$G$12&lt;='Enter and Change Data Here'!$G$26,L86,0)</f>
        <v>8406762.246831827</v>
      </c>
      <c r="P84" s="34">
        <f>IF(P3-'Enter and Change Data Here'!$G$12&lt;='Enter and Change Data Here'!$G$26,N86,0)</f>
        <v>17799032.218600288</v>
      </c>
      <c r="R84" s="34">
        <f>IF(R3-'Enter and Change Data Here'!$G$12&lt;='Enter and Change Data Here'!$G$26,P86,0)</f>
        <v>28365331.493804127</v>
      </c>
      <c r="T84" s="34">
        <f>IF(T3-'Enter and Change Data Here'!$G$12&lt;='Enter and Change Data Here'!$G$26,R86,0)</f>
        <v>39251873.41435204</v>
      </c>
      <c r="V84" s="34">
        <f>IF(V3-'Enter and Change Data Here'!$G$12&lt;='Enter and Change Data Here'!$G$26,T86,0)</f>
        <v>50465468.2488693</v>
      </c>
      <c r="X84" s="34">
        <f>IF(X3-'Enter and Change Data Here'!$G$12&lt;='Enter and Change Data Here'!$G$26,V86,0)</f>
        <v>62013052.8504933</v>
      </c>
      <c r="Z84" s="34">
        <f>IF(Z3-'Enter and Change Data Here'!$G$12&lt;='Enter and Change Data Here'!$G$26,X86,0)</f>
        <v>73901692.81885478</v>
      </c>
      <c r="AB84" s="34">
        <f>IF(AB3-'Enter and Change Data Here'!$G$12&lt;='Enter and Change Data Here'!$G$26,Z86,0)</f>
        <v>85883811.38295546</v>
      </c>
      <c r="AD84" s="34">
        <f>IF(AD3-'Enter and Change Data Here'!$G$12&lt;='Enter and Change Data Here'!$G$26,AB86,0)</f>
        <v>92853146.78422792</v>
      </c>
      <c r="AF84" s="34">
        <f>IF(AF3-'Enter and Change Data Here'!$G$12&lt;='Enter and Change Data Here'!$G$26,AD86,0)</f>
        <v>99920354.36753488</v>
      </c>
      <c r="AH84" s="34">
        <f>IF(AH3-'Enter and Change Data Here'!$G$12&lt;='Enter and Change Data Here'!$G$26,AF86,0)</f>
        <v>107082090.73368266</v>
      </c>
      <c r="AJ84" s="34">
        <f>IF(AJ3-'Enter and Change Data Here'!$G$12&lt;='Enter and Change Data Here'!$G$26,AH86,0)</f>
        <v>114334540.10061885</v>
      </c>
      <c r="AL84" s="34">
        <f>IF(AL3-'Enter and Change Data Here'!$G$12&lt;='Enter and Change Data Here'!$G$26,AJ86,0)</f>
        <v>121673370.12152223</v>
      </c>
      <c r="AN84" s="34">
        <f>IF(AN3-'Enter and Change Data Here'!$G$12&lt;='Enter and Change Data Here'!$G$26,AL86,0)</f>
        <v>129093683.72335027</v>
      </c>
      <c r="AP84" s="34">
        <f>IF(AP3-'Enter and Change Data Here'!$G$12&lt;='Enter and Change Data Here'!$G$26,AN86,0)</f>
        <v>136589966.60807452</v>
      </c>
      <c r="AR84" s="34">
        <f>IF(AR3-'Enter and Change Data Here'!$G$12&lt;='Enter and Change Data Here'!$G$26,AP86,0)</f>
        <v>144156030.02664894</v>
      </c>
      <c r="AT84" s="34">
        <f>IF(AT3-'Enter and Change Data Here'!$G$12&lt;='Enter and Change Data Here'!$G$26,AR86,0)</f>
        <v>151784948.40067482</v>
      </c>
      <c r="AV84" s="34">
        <f>IF(AV3-'Enter and Change Data Here'!$G$12&lt;='Enter and Change Data Here'!$G$26,AT86,0)</f>
        <v>159468991.32848746</v>
      </c>
      <c r="AX84" s="34">
        <f>IF(AX3-'Enter and Change Data Here'!$G$12&lt;='Enter and Change Data Here'!$G$26,AV86,0)</f>
        <v>167199549.47071037</v>
      </c>
      <c r="AZ84" s="34">
        <f>IF(AZ3-'Enter and Change Data Here'!$G$12&lt;='Enter and Change Data Here'!$G$26,AX86,0)</f>
        <v>174967053.76489252</v>
      </c>
      <c r="BB84" s="34">
        <f>IF(BB3-'Enter and Change Data Here'!$G$12&lt;='Enter and Change Data Here'!$G$26,AZ86,0)</f>
        <v>186860989.12249386</v>
      </c>
      <c r="BD84" s="34">
        <f>IF(BD3-'Enter and Change Data Here'!$G$12&lt;='Enter and Change Data Here'!$G$26,BB86,0)</f>
        <v>198966298.07265154</v>
      </c>
      <c r="BF84" s="34">
        <f>IF(BF3-'Enter and Change Data Here'!$G$12&lt;='Enter and Change Data Here'!$G$26,BD86,0)</f>
        <v>211285617.6233817</v>
      </c>
      <c r="BH84" s="34">
        <f>IF(BH3-'Enter and Change Data Here'!$G$12&lt;='Enter and Change Data Here'!$G$26,BF86,0)</f>
        <v>223821605.7132702</v>
      </c>
      <c r="BJ84" s="34">
        <f>IF(BJ3-'Enter and Change Data Here'!$G$12&lt;='Enter and Change Data Here'!$G$26,BH86,0)</f>
        <v>0</v>
      </c>
      <c r="BL84" s="34">
        <f>IF(BL3-'Enter and Change Data Here'!$G$12&lt;='Enter and Change Data Here'!$G$26,BJ86,0)</f>
        <v>0</v>
      </c>
      <c r="BN84" s="34">
        <f>IF(BN3-'Enter and Change Data Here'!$G$12&lt;='Enter and Change Data Here'!$G$26,BL86,0)</f>
        <v>0</v>
      </c>
      <c r="BP84" s="34">
        <f>IF(BP3-'Enter and Change Data Here'!$G$12&lt;='Enter and Change Data Here'!$G$26,BN86,0)</f>
        <v>0</v>
      </c>
      <c r="BR84" s="34">
        <f>IF(BR3-'Enter and Change Data Here'!$G$12&lt;='Enter and Change Data Here'!$G$26,BP86,0)</f>
        <v>0</v>
      </c>
      <c r="BT84" s="34">
        <f>IF(BT3-'Enter and Change Data Here'!$G$12&lt;='Enter and Change Data Here'!$G$26,BR86,0)</f>
        <v>0</v>
      </c>
      <c r="BV84" s="34">
        <f>IF(BV3-'Enter and Change Data Here'!$G$12&lt;='Enter and Change Data Here'!$G$26,BT86,0)</f>
        <v>0</v>
      </c>
      <c r="BX84" s="34">
        <f>IF(BX3-'Enter and Change Data Here'!$G$12&lt;='Enter and Change Data Here'!$G$26,BV86,0)</f>
        <v>0</v>
      </c>
      <c r="BZ84" s="34">
        <f>IF(BZ3-'Enter and Change Data Here'!$G$12&lt;='Enter and Change Data Here'!$G$26,BX86,0)</f>
        <v>0</v>
      </c>
      <c r="CB84" s="34">
        <f>IF(CB3-'Enter and Change Data Here'!$G$12&lt;='Enter and Change Data Here'!$G$26,BZ86,0)</f>
        <v>0</v>
      </c>
      <c r="CD84" s="34">
        <f>IF(CD3-'Enter and Change Data Here'!$G$12&lt;='Enter and Change Data Here'!$G$26,CB86,0)</f>
        <v>0</v>
      </c>
      <c r="CF84" s="34">
        <f>IF(CF3-'Enter and Change Data Here'!$G$12&lt;='Enter and Change Data Here'!$G$26,CD86,0)</f>
        <v>0</v>
      </c>
      <c r="CH84" s="34">
        <f>IF(CH3-'Enter and Change Data Here'!$G$12&lt;='Enter and Change Data Here'!$G$26,CF86,0)</f>
        <v>0</v>
      </c>
      <c r="CJ84" s="34">
        <f>IF(CJ3-'Enter and Change Data Here'!$G$12&lt;='Enter and Change Data Here'!$G$26,CH86,0)</f>
        <v>0</v>
      </c>
      <c r="CL84" s="34">
        <f>IF(CL3-'Enter and Change Data Here'!$G$12&lt;='Enter and Change Data Here'!$G$26,CJ86,0)</f>
        <v>0</v>
      </c>
      <c r="CN84" s="34">
        <f>IF(CN3-'Enter and Change Data Here'!$G$12&lt;='Enter and Change Data Here'!$G$26,CL86,0)</f>
        <v>0</v>
      </c>
      <c r="CP84" s="34">
        <f>IF(CP3-'Enter and Change Data Here'!$G$12&lt;='Enter and Change Data Here'!$G$26,CN86,0)</f>
        <v>0</v>
      </c>
      <c r="CR84" s="34">
        <f>IF(CR3-'Enter and Change Data Here'!$G$12&lt;='Enter and Change Data Here'!$G$26,CP86,0)</f>
        <v>0</v>
      </c>
      <c r="CT84" s="34">
        <f>IF(CT3-'Enter and Change Data Here'!$G$12&lt;='Enter and Change Data Here'!$G$26,CR86,0)</f>
        <v>0</v>
      </c>
      <c r="CV84" s="34">
        <f>IF(CV3-'Enter and Change Data Here'!$G$12&lt;='Enter and Change Data Here'!$G$26,CT86,0)</f>
        <v>0</v>
      </c>
      <c r="CX84" s="34">
        <f>IF(CX3-'Enter and Change Data Here'!$G$12&lt;='Enter and Change Data Here'!$G$26,CV86,0)</f>
        <v>0</v>
      </c>
      <c r="CZ84" s="34">
        <f>IF(CZ3-'Enter and Change Data Here'!$G$12&lt;='Enter and Change Data Here'!$G$26,CX86,0)</f>
        <v>0</v>
      </c>
      <c r="DB84" s="34">
        <f>IF(DB3-'Enter and Change Data Here'!$G$12&lt;='Enter and Change Data Here'!$G$26,CZ86,0)</f>
        <v>0</v>
      </c>
      <c r="DD84" s="34">
        <f>IF(DD3-'Enter and Change Data Here'!$G$12&lt;='Enter and Change Data Here'!$G$26,DB86,0)</f>
        <v>0</v>
      </c>
      <c r="DF84" s="34">
        <f>IF(DF3-'Enter and Change Data Here'!$G$12&lt;='Enter and Change Data Here'!$G$26,DD86,0)</f>
        <v>0</v>
      </c>
    </row>
    <row r="85" spans="3:110" ht="12.75" customHeight="1" thickBot="1">
      <c r="C85" s="14"/>
      <c r="D85" s="2"/>
      <c r="E85" s="2"/>
      <c r="J85" s="34"/>
      <c r="L85" s="34"/>
      <c r="N85" s="34"/>
      <c r="P85" s="34"/>
      <c r="R85" s="34"/>
      <c r="T85" s="34"/>
      <c r="V85" s="34"/>
      <c r="X85" s="34"/>
      <c r="Z85" s="34"/>
      <c r="AB85" s="34"/>
      <c r="AD85" s="34"/>
      <c r="AF85" s="34"/>
      <c r="AH85" s="34"/>
      <c r="AJ85" s="34"/>
      <c r="AL85" s="34"/>
      <c r="AN85" s="34"/>
      <c r="AP85" s="34"/>
      <c r="AR85" s="34"/>
      <c r="AT85" s="34"/>
      <c r="AV85" s="34"/>
      <c r="AX85" s="34"/>
      <c r="AZ85" s="34"/>
      <c r="BB85" s="34"/>
      <c r="BD85" s="34"/>
      <c r="BF85" s="34"/>
      <c r="BH85" s="34"/>
      <c r="BJ85" s="34"/>
      <c r="BL85" s="34"/>
      <c r="BN85" s="34"/>
      <c r="BP85" s="34"/>
      <c r="BR85" s="34"/>
      <c r="BT85" s="34"/>
      <c r="BV85" s="34"/>
      <c r="BX85" s="34"/>
      <c r="BZ85" s="34"/>
      <c r="CB85" s="34"/>
      <c r="CD85" s="34"/>
      <c r="CF85" s="34"/>
      <c r="CH85" s="34"/>
      <c r="CJ85" s="34"/>
      <c r="CL85" s="34"/>
      <c r="CN85" s="34"/>
      <c r="CP85" s="34"/>
      <c r="CR85" s="34"/>
      <c r="CT85" s="34"/>
      <c r="CV85" s="34"/>
      <c r="CX85" s="34"/>
      <c r="CZ85" s="34"/>
      <c r="DB85" s="34"/>
      <c r="DD85" s="34"/>
      <c r="DF85" s="34"/>
    </row>
    <row r="86" spans="3:111" ht="12.75" customHeight="1">
      <c r="C86" s="14" t="s">
        <v>88</v>
      </c>
      <c r="D86" s="8"/>
      <c r="E86" s="2"/>
      <c r="J86" s="61">
        <f>IF(J3-'Enter and Change Data Here'!$G$12&lt;='Enter and Change Data Here'!$G$26,J82+J84,0)</f>
        <v>1000000</v>
      </c>
      <c r="K86" s="42"/>
      <c r="L86" s="61">
        <f>IF(L3-'Enter and Change Data Here'!$G$12&lt;='Enter and Change Data Here'!$G$26,L82+L84,0)</f>
        <v>8406762.246831827</v>
      </c>
      <c r="M86" s="42"/>
      <c r="N86" s="61">
        <f>IF(N3-'Enter and Change Data Here'!$G$12&lt;='Enter and Change Data Here'!$G$26,N82+N84,0)</f>
        <v>17799032.218600288</v>
      </c>
      <c r="O86" s="42"/>
      <c r="P86" s="61">
        <f>IF(P3-'Enter and Change Data Here'!$G$12&lt;='Enter and Change Data Here'!$G$26,P82+P84,0)</f>
        <v>28365331.493804127</v>
      </c>
      <c r="Q86" s="42"/>
      <c r="R86" s="61">
        <f>IF(R3-'Enter and Change Data Here'!$G$12&lt;='Enter and Change Data Here'!$G$26,R82+R84,0)</f>
        <v>39251873.41435204</v>
      </c>
      <c r="S86" s="42"/>
      <c r="T86" s="61">
        <f>IF(T3-'Enter and Change Data Here'!$G$12&lt;='Enter and Change Data Here'!$G$26,T82+T84,0)</f>
        <v>50465468.2488693</v>
      </c>
      <c r="U86" s="42"/>
      <c r="V86" s="61">
        <f>IF(V3-'Enter and Change Data Here'!$G$12&lt;='Enter and Change Data Here'!$G$26,V82+V84,0)</f>
        <v>62013052.8504933</v>
      </c>
      <c r="W86" s="42"/>
      <c r="X86" s="61">
        <f>IF(X3-'Enter and Change Data Here'!$G$12&lt;='Enter and Change Data Here'!$G$26,X82+X84,0)</f>
        <v>73901692.81885478</v>
      </c>
      <c r="Y86" s="42"/>
      <c r="Z86" s="61">
        <f>IF(Z3-'Enter and Change Data Here'!$G$12&lt;='Enter and Change Data Here'!$G$26,Z82+Z84,0)</f>
        <v>85883811.38295546</v>
      </c>
      <c r="AA86" s="42"/>
      <c r="AB86" s="61">
        <f>IF(AB3-'Enter and Change Data Here'!$G$12&lt;='Enter and Change Data Here'!$G$26,AB82+AB84,0)</f>
        <v>92853146.78422792</v>
      </c>
      <c r="AC86" s="42"/>
      <c r="AD86" s="61">
        <f>IF(AD3-'Enter and Change Data Here'!$G$12&lt;='Enter and Change Data Here'!$G$26,AD82+AD84,0)</f>
        <v>99920354.36753488</v>
      </c>
      <c r="AE86" s="42"/>
      <c r="AF86" s="61">
        <f>IF(AF3-'Enter and Change Data Here'!$G$12&lt;='Enter and Change Data Here'!$G$26,AF82+AF84,0)</f>
        <v>107082090.73368266</v>
      </c>
      <c r="AG86" s="42"/>
      <c r="AH86" s="61">
        <f>IF(AH3-'Enter and Change Data Here'!$G$12&lt;='Enter and Change Data Here'!$G$26,AH82+AH84,0)</f>
        <v>114334540.10061885</v>
      </c>
      <c r="AI86" s="42"/>
      <c r="AJ86" s="61">
        <f>IF(AJ3-'Enter and Change Data Here'!$G$12&lt;='Enter and Change Data Here'!$G$26,AJ82+AJ84,0)</f>
        <v>121673370.12152223</v>
      </c>
      <c r="AK86" s="42"/>
      <c r="AL86" s="61">
        <f>IF(AL3-'Enter and Change Data Here'!$G$12&lt;='Enter and Change Data Here'!$G$26,AL82+AL84,0)</f>
        <v>129093683.72335027</v>
      </c>
      <c r="AM86" s="42"/>
      <c r="AN86" s="61">
        <f>IF(AN3-'Enter and Change Data Here'!$G$12&lt;='Enter and Change Data Here'!$G$26,AN82+AN84,0)</f>
        <v>136589966.60807452</v>
      </c>
      <c r="AO86" s="42"/>
      <c r="AP86" s="61">
        <f>IF(AP3-'Enter and Change Data Here'!$G$12&lt;='Enter and Change Data Here'!$G$26,AP82+AP84,0)</f>
        <v>144156030.02664894</v>
      </c>
      <c r="AQ86" s="42"/>
      <c r="AR86" s="61">
        <f>IF(AR3-'Enter and Change Data Here'!$G$12&lt;='Enter and Change Data Here'!$G$26,AR82+AR84,0)</f>
        <v>151784948.40067482</v>
      </c>
      <c r="AS86" s="42"/>
      <c r="AT86" s="61">
        <f>IF(AT3-'Enter and Change Data Here'!$G$12&lt;='Enter and Change Data Here'!$G$26,AT82+AT84,0)</f>
        <v>159468991.32848746</v>
      </c>
      <c r="AU86" s="42"/>
      <c r="AV86" s="61">
        <f>IF(AV3-'Enter and Change Data Here'!$G$12&lt;='Enter and Change Data Here'!$G$26,AV82+AV84,0)</f>
        <v>167199549.47071037</v>
      </c>
      <c r="AW86" s="42"/>
      <c r="AX86" s="61">
        <f>IF(AX3-'Enter and Change Data Here'!$G$12&lt;='Enter and Change Data Here'!$G$26,AX82+AX84,0)</f>
        <v>174967053.76489252</v>
      </c>
      <c r="AY86" s="42"/>
      <c r="AZ86" s="61">
        <f>IF(AZ3-'Enter and Change Data Here'!$G$12&lt;='Enter and Change Data Here'!$G$26,AZ82+AZ84,0)</f>
        <v>186860989.12249386</v>
      </c>
      <c r="BA86" s="42"/>
      <c r="BB86" s="61">
        <f>IF(BB3-'Enter and Change Data Here'!$G$12&lt;='Enter and Change Data Here'!$G$26,BB82+BB84,0)</f>
        <v>198966298.07265154</v>
      </c>
      <c r="BC86" s="42"/>
      <c r="BD86" s="61">
        <f>IF(BD3-'Enter and Change Data Here'!$G$12&lt;='Enter and Change Data Here'!$G$26,BD82+BD84,0)</f>
        <v>211285617.6233817</v>
      </c>
      <c r="BE86" s="42"/>
      <c r="BF86" s="61">
        <f>IF(BF3-'Enter and Change Data Here'!$G$12&lt;='Enter and Change Data Here'!$G$26,BF82+BF84,0)</f>
        <v>223821605.7132702</v>
      </c>
      <c r="BG86" s="42"/>
      <c r="BH86" s="61">
        <f>IF(BH3-'Enter and Change Data Here'!$G$12&lt;='Enter and Change Data Here'!$G$26,BH82+BH84,0)</f>
        <v>236576941.12112862</v>
      </c>
      <c r="BI86" s="42"/>
      <c r="BJ86" s="61">
        <f>IF(BJ3-'Enter and Change Data Here'!$G$12&lt;='Enter and Change Data Here'!$G$26,BJ82+BJ84,0)</f>
        <v>0</v>
      </c>
      <c r="BK86" s="42"/>
      <c r="BL86" s="61">
        <f>IF(BL3-'Enter and Change Data Here'!$G$12&lt;='Enter and Change Data Here'!$G$26,BL82+BL84,0)</f>
        <v>0</v>
      </c>
      <c r="BM86" s="42"/>
      <c r="BN86" s="61">
        <f>IF(BN3-'Enter and Change Data Here'!$G$12&lt;='Enter and Change Data Here'!$G$26,BN82+BN84,0)</f>
        <v>0</v>
      </c>
      <c r="BO86" s="42"/>
      <c r="BP86" s="61">
        <f>IF(BP3-'Enter and Change Data Here'!$G$12&lt;='Enter and Change Data Here'!$G$26,BP82+BP84,0)</f>
        <v>0</v>
      </c>
      <c r="BQ86" s="42"/>
      <c r="BR86" s="61">
        <f>IF(BR3-'Enter and Change Data Here'!$G$12&lt;='Enter and Change Data Here'!$G$26,BR82+BR84,0)</f>
        <v>0</v>
      </c>
      <c r="BS86" s="42"/>
      <c r="BT86" s="61">
        <f>IF(BT3-'Enter and Change Data Here'!$G$12&lt;='Enter and Change Data Here'!$G$26,BT82+BT84,0)</f>
        <v>0</v>
      </c>
      <c r="BU86" s="42"/>
      <c r="BV86" s="61">
        <f>IF(BV3-'Enter and Change Data Here'!$G$12&lt;='Enter and Change Data Here'!$G$26,BV82+BV84,0)</f>
        <v>0</v>
      </c>
      <c r="BW86" s="42"/>
      <c r="BX86" s="61">
        <f>IF(BX3-'Enter and Change Data Here'!$G$12&lt;='Enter and Change Data Here'!$G$26,BX82+BX84,0)</f>
        <v>0</v>
      </c>
      <c r="BY86" s="42"/>
      <c r="BZ86" s="61">
        <f>IF(BZ3-'Enter and Change Data Here'!$G$12&lt;='Enter and Change Data Here'!$G$26,BZ82+BZ84,0)</f>
        <v>0</v>
      </c>
      <c r="CA86" s="42"/>
      <c r="CB86" s="61">
        <f>IF(CB3-'Enter and Change Data Here'!$G$12&lt;='Enter and Change Data Here'!$G$26,CB82+CB84,0)</f>
        <v>0</v>
      </c>
      <c r="CC86" s="42"/>
      <c r="CD86" s="61">
        <f>IF(CD3-'Enter and Change Data Here'!$G$12&lt;='Enter and Change Data Here'!$G$26,CD82+CD84,0)</f>
        <v>0</v>
      </c>
      <c r="CE86" s="42"/>
      <c r="CF86" s="61">
        <f>IF(CF3-'Enter and Change Data Here'!$G$12&lt;='Enter and Change Data Here'!$G$26,CF82+CF84,0)</f>
        <v>0</v>
      </c>
      <c r="CG86" s="42"/>
      <c r="CH86" s="61">
        <f>IF(CH3-'Enter and Change Data Here'!$G$12&lt;='Enter and Change Data Here'!$G$26,CH82+CH84,0)</f>
        <v>0</v>
      </c>
      <c r="CI86" s="42"/>
      <c r="CJ86" s="61">
        <f>IF(CJ3-'Enter and Change Data Here'!$G$12&lt;='Enter and Change Data Here'!$G$26,CJ82+CJ84,0)</f>
        <v>0</v>
      </c>
      <c r="CK86" s="42"/>
      <c r="CL86" s="61">
        <f>IF(CL3-'Enter and Change Data Here'!$G$12&lt;='Enter and Change Data Here'!$G$26,CL82+CL84,0)</f>
        <v>0</v>
      </c>
      <c r="CM86" s="42"/>
      <c r="CN86" s="61">
        <f>IF(CN3-'Enter and Change Data Here'!$G$12&lt;='Enter and Change Data Here'!$G$26,CN82+CN84,0)</f>
        <v>0</v>
      </c>
      <c r="CO86" s="42"/>
      <c r="CP86" s="61">
        <f>IF(CP3-'Enter and Change Data Here'!$G$12&lt;='Enter and Change Data Here'!$G$26,CP82+CP84,0)</f>
        <v>0</v>
      </c>
      <c r="CQ86" s="42"/>
      <c r="CR86" s="61">
        <f>IF(CR3-'Enter and Change Data Here'!$G$12&lt;='Enter and Change Data Here'!$G$26,CR82+CR84,0)</f>
        <v>0</v>
      </c>
      <c r="CS86" s="42"/>
      <c r="CT86" s="61">
        <f>IF(CT3-'Enter and Change Data Here'!$G$12&lt;='Enter and Change Data Here'!$G$26,CT82+CT84,0)</f>
        <v>0</v>
      </c>
      <c r="CU86" s="42"/>
      <c r="CV86" s="61">
        <f>IF(CV3-'Enter and Change Data Here'!$G$12&lt;='Enter and Change Data Here'!$G$26,CV82+CV84,0)</f>
        <v>0</v>
      </c>
      <c r="CW86" s="42"/>
      <c r="CX86" s="61">
        <f>IF(CX3-'Enter and Change Data Here'!$G$12&lt;='Enter and Change Data Here'!$G$26,CX82+CX84,0)</f>
        <v>0</v>
      </c>
      <c r="CY86" s="42"/>
      <c r="CZ86" s="61">
        <f>IF(CZ3-'Enter and Change Data Here'!$G$12&lt;='Enter and Change Data Here'!$G$26,CZ82+CZ84,0)</f>
        <v>0</v>
      </c>
      <c r="DA86" s="42"/>
      <c r="DB86" s="61">
        <f>IF(DB3-'Enter and Change Data Here'!$G$12&lt;='Enter and Change Data Here'!$G$26,DB82+DB84,0)</f>
        <v>0</v>
      </c>
      <c r="DC86" s="42"/>
      <c r="DD86" s="61">
        <f>IF(DD3-'Enter and Change Data Here'!$G$12&lt;='Enter and Change Data Here'!$G$26,DD82+DD84,0)</f>
        <v>0</v>
      </c>
      <c r="DE86" s="42"/>
      <c r="DF86" s="61">
        <f>IF(DF3-'Enter and Change Data Here'!$G$12&lt;='Enter and Change Data Here'!$G$26,DF82+DF84,0)</f>
        <v>0</v>
      </c>
      <c r="DG86" s="42"/>
    </row>
    <row r="87" spans="4:12" ht="12.75" customHeight="1">
      <c r="D87" s="47"/>
      <c r="L87" s="40"/>
    </row>
    <row r="88" ht="12.75" customHeight="1"/>
    <row r="89" spans="10:11" ht="12.75" customHeight="1">
      <c r="J89" s="48"/>
      <c r="K89" s="48"/>
    </row>
    <row r="90" spans="10:11" ht="12.75" customHeight="1">
      <c r="J90" s="48"/>
      <c r="K90" s="48"/>
    </row>
    <row r="91" spans="10:11" ht="12.75" customHeight="1">
      <c r="J91" s="48"/>
      <c r="K91" s="48"/>
    </row>
    <row r="92" ht="12.75" customHeight="1"/>
    <row r="93" spans="10:11" ht="12.75" customHeight="1">
      <c r="J93" s="48"/>
      <c r="K93" s="48"/>
    </row>
    <row r="94" ht="12.75" customHeight="1"/>
    <row r="95" spans="10:15" ht="12.75" customHeight="1">
      <c r="J95" s="49"/>
      <c r="K95" s="49"/>
      <c r="L95" s="14"/>
      <c r="O95" s="50"/>
    </row>
    <row r="96" spans="10:15" ht="12.75" customHeight="1">
      <c r="J96" s="49"/>
      <c r="K96" s="49"/>
      <c r="L96" s="14"/>
      <c r="O96" s="50"/>
    </row>
    <row r="97" spans="10:15" ht="12.75" customHeight="1">
      <c r="J97" s="49"/>
      <c r="K97" s="49"/>
      <c r="L97" s="51"/>
      <c r="O97" s="50"/>
    </row>
    <row r="98" ht="12.75" customHeight="1"/>
    <row r="99" ht="12.75" customHeight="1">
      <c r="J99" s="52"/>
    </row>
    <row r="100" ht="12.75" customHeight="1"/>
    <row r="101" ht="12.75" customHeight="1"/>
    <row r="102" ht="12.75" customHeight="1"/>
    <row r="103" spans="10:15" ht="12.75" customHeight="1">
      <c r="J103" s="53"/>
      <c r="K103" s="54"/>
      <c r="O103" s="38"/>
    </row>
    <row r="104" ht="12.75" customHeight="1">
      <c r="J104" s="55"/>
    </row>
    <row r="105" spans="10:15" ht="12.75" customHeight="1">
      <c r="J105" s="53"/>
      <c r="K105" s="54"/>
      <c r="O105" s="56"/>
    </row>
    <row r="106" spans="10:15" ht="12.75" customHeight="1">
      <c r="J106" s="53"/>
      <c r="K106" s="54"/>
      <c r="O106" s="56"/>
    </row>
    <row r="107" spans="10:15" ht="12.75" customHeight="1">
      <c r="J107" s="53"/>
      <c r="K107" s="54"/>
      <c r="O107" s="56"/>
    </row>
    <row r="108" ht="12.75" customHeight="1"/>
    <row r="109" spans="10:15" ht="12.75" customHeight="1">
      <c r="J109" s="53"/>
      <c r="L109" s="51"/>
      <c r="O109" s="50"/>
    </row>
    <row r="110" spans="10:15" ht="12.75" customHeight="1">
      <c r="J110" s="53"/>
      <c r="L110" s="51"/>
      <c r="O110" s="50"/>
    </row>
    <row r="111" spans="10:15" ht="12.75" customHeight="1">
      <c r="J111" s="53"/>
      <c r="L111" s="51"/>
      <c r="O111" s="50"/>
    </row>
    <row r="112" spans="10:15" ht="12.75" customHeight="1">
      <c r="J112" s="53"/>
      <c r="L112" s="51"/>
      <c r="O112" s="50"/>
    </row>
    <row r="113" spans="10:15" ht="12.75" customHeight="1">
      <c r="J113" s="48"/>
      <c r="L113" s="14"/>
      <c r="O113" s="50"/>
    </row>
    <row r="114" spans="10:15" ht="12.75" customHeight="1">
      <c r="J114" s="48"/>
      <c r="L114" s="14"/>
      <c r="O114" s="50"/>
    </row>
    <row r="115" spans="10:15" ht="12.75" customHeight="1">
      <c r="J115" s="53"/>
      <c r="L115" s="51"/>
      <c r="O115" s="50"/>
    </row>
    <row r="116" spans="10:15" ht="12.75" customHeight="1">
      <c r="J116" s="48"/>
      <c r="L116" s="51"/>
      <c r="O116" s="50"/>
    </row>
    <row r="117" spans="10:15" ht="12.75" customHeight="1">
      <c r="J117" s="48"/>
      <c r="O117" s="50"/>
    </row>
    <row r="118" spans="10:15" ht="12.75" customHeight="1">
      <c r="J118" s="48"/>
      <c r="O118" s="50"/>
    </row>
    <row r="119" spans="10:15" ht="12.75" customHeight="1">
      <c r="J119" s="48"/>
      <c r="O119" s="50"/>
    </row>
    <row r="120" spans="10:15" ht="12.75" customHeight="1">
      <c r="J120" s="53"/>
      <c r="O120" s="38"/>
    </row>
    <row r="121" ht="12.75" customHeight="1">
      <c r="J121" s="53"/>
    </row>
    <row r="122" ht="12.75" customHeight="1">
      <c r="J122" s="53"/>
    </row>
    <row r="123" spans="10:12" ht="12.75" customHeight="1">
      <c r="J123" s="53"/>
      <c r="L123" s="51"/>
    </row>
    <row r="124" ht="12.75" customHeight="1">
      <c r="J124" s="53"/>
    </row>
    <row r="125" ht="12.75" customHeight="1">
      <c r="D125" s="40"/>
    </row>
    <row r="126" ht="12.75" customHeight="1">
      <c r="D126" s="40"/>
    </row>
    <row r="127" ht="12.75" customHeight="1"/>
    <row r="128" ht="12.75" customHeight="1"/>
    <row r="129" ht="12.75" customHeight="1"/>
    <row r="130" ht="12.75" customHeight="1"/>
    <row r="131" ht="12.75" customHeight="1">
      <c r="J131" s="57"/>
    </row>
    <row r="132" ht="12.75" customHeight="1">
      <c r="J132" s="58"/>
    </row>
    <row r="133" ht="12.75" customHeight="1">
      <c r="J133" s="58"/>
    </row>
    <row r="134" ht="12.75" customHeight="1">
      <c r="J134" s="58"/>
    </row>
    <row r="135" ht="12.75" customHeight="1">
      <c r="J135" s="57"/>
    </row>
    <row r="136" ht="12.75" customHeight="1">
      <c r="J136" s="57"/>
    </row>
    <row r="137" ht="12.75" customHeight="1"/>
    <row r="138" ht="12.75" customHeight="1"/>
    <row r="139" ht="12.75" customHeight="1"/>
    <row r="140" ht="12.75" customHeight="1">
      <c r="J140" s="57"/>
    </row>
    <row r="141" ht="12.75" customHeight="1">
      <c r="J141" s="58"/>
    </row>
    <row r="142" ht="12.75" customHeight="1">
      <c r="J142" s="58"/>
    </row>
    <row r="143" ht="12.75" customHeight="1">
      <c r="J143" s="58"/>
    </row>
    <row r="144" ht="12.75" customHeight="1">
      <c r="J144" s="57"/>
    </row>
    <row r="145" ht="12.75" customHeight="1">
      <c r="J145" s="57"/>
    </row>
    <row r="146" ht="12.75" customHeight="1"/>
    <row r="147" ht="12.75" customHeight="1"/>
    <row r="148" ht="12.75" customHeight="1"/>
    <row r="149" ht="12.75" customHeight="1"/>
    <row r="150" ht="12.75" customHeight="1">
      <c r="J150" s="57"/>
    </row>
    <row r="151" ht="12.75" customHeight="1">
      <c r="J151" s="58"/>
    </row>
    <row r="152" ht="12.75" customHeight="1">
      <c r="J152" s="58"/>
    </row>
    <row r="153" ht="12.75" customHeight="1">
      <c r="J153" s="58"/>
    </row>
    <row r="154" ht="12.75" customHeight="1">
      <c r="J154" s="57"/>
    </row>
    <row r="155" ht="12.75" customHeight="1">
      <c r="J155" s="57"/>
    </row>
    <row r="156" ht="12.75" customHeight="1"/>
    <row r="157" ht="12.75" customHeight="1"/>
    <row r="158" ht="12.75" customHeight="1">
      <c r="J158" s="57"/>
    </row>
    <row r="159" ht="12.75" customHeight="1">
      <c r="J159" s="58"/>
    </row>
    <row r="160" ht="12.75" customHeight="1">
      <c r="J160" s="58"/>
    </row>
    <row r="161" ht="12.75" customHeight="1">
      <c r="J161" s="58"/>
    </row>
    <row r="162" ht="12.75" customHeight="1">
      <c r="J162" s="57"/>
    </row>
    <row r="163" ht="12.75" customHeight="1">
      <c r="J163" s="57"/>
    </row>
    <row r="164" ht="12.75" customHeight="1"/>
    <row r="165" ht="12.75" customHeight="1"/>
    <row r="166" ht="12.75" customHeight="1">
      <c r="J166" s="57"/>
    </row>
    <row r="167" ht="12.75" customHeight="1">
      <c r="J167" s="58"/>
    </row>
    <row r="168" ht="12.75" customHeight="1">
      <c r="J168" s="58"/>
    </row>
    <row r="169" ht="12.75" customHeight="1">
      <c r="J169" s="58"/>
    </row>
    <row r="170" ht="12.75" customHeight="1">
      <c r="J170" s="57"/>
    </row>
    <row r="171" ht="12.75" customHeight="1">
      <c r="J171" s="57"/>
    </row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>
      <c r="J183" s="58"/>
    </row>
    <row r="184" ht="12.75" customHeight="1">
      <c r="J184" s="58"/>
    </row>
    <row r="185" ht="12.75" customHeight="1">
      <c r="J185" s="58"/>
    </row>
    <row r="186" ht="12.75" customHeight="1">
      <c r="J186" s="58"/>
    </row>
    <row r="187" ht="12.75" customHeight="1">
      <c r="J187" s="58"/>
    </row>
    <row r="188" ht="12.75" customHeight="1">
      <c r="J188" s="58"/>
    </row>
    <row r="189" ht="12.75" customHeight="1">
      <c r="J189" s="58"/>
    </row>
    <row r="190" ht="12.75" customHeight="1">
      <c r="J190" s="58"/>
    </row>
    <row r="191" ht="12.75" customHeight="1">
      <c r="J191" s="58"/>
    </row>
    <row r="192" ht="12.75" customHeight="1">
      <c r="J192" s="58"/>
    </row>
    <row r="193" ht="12.75" customHeight="1">
      <c r="J193" s="58"/>
    </row>
    <row r="194" ht="12.75" customHeight="1">
      <c r="J194" s="58"/>
    </row>
    <row r="195" ht="12.75" customHeight="1">
      <c r="J195" s="58"/>
    </row>
    <row r="196" ht="12.75" customHeight="1">
      <c r="J196" s="58"/>
    </row>
    <row r="197" ht="12.75" customHeight="1">
      <c r="J197" s="58"/>
    </row>
    <row r="198" ht="12.75" customHeight="1">
      <c r="J198" s="58"/>
    </row>
    <row r="199" ht="12.75" customHeight="1">
      <c r="J199" s="58"/>
    </row>
    <row r="200" ht="12.75" customHeight="1">
      <c r="J200" s="58"/>
    </row>
    <row r="201" ht="12.75" customHeight="1"/>
    <row r="202" ht="12.75" customHeight="1">
      <c r="D202" s="40"/>
    </row>
    <row r="203" ht="12.75" customHeight="1"/>
    <row r="204" ht="12.75" customHeight="1"/>
    <row r="205" ht="12.75" customHeight="1"/>
    <row r="206" ht="12.75" customHeight="1">
      <c r="J206" s="57"/>
    </row>
    <row r="207" ht="12.75" customHeight="1">
      <c r="J207" s="58"/>
    </row>
    <row r="208" ht="12.75" customHeight="1">
      <c r="J208" s="58"/>
    </row>
    <row r="209" ht="12.75" customHeight="1">
      <c r="J209" s="58"/>
    </row>
    <row r="210" ht="12.75" customHeight="1">
      <c r="J210" s="57"/>
    </row>
    <row r="211" ht="12.75" customHeight="1">
      <c r="J211" s="57"/>
    </row>
    <row r="212" ht="12.75" customHeight="1"/>
    <row r="213" ht="12.75" customHeight="1"/>
    <row r="214" ht="12.75" customHeight="1">
      <c r="J214" s="58"/>
    </row>
    <row r="215" ht="12.75" customHeight="1">
      <c r="J215" s="58"/>
    </row>
    <row r="216" ht="12.75" customHeight="1">
      <c r="J216" s="58"/>
    </row>
    <row r="217" ht="12.75" customHeight="1">
      <c r="J217" s="57"/>
    </row>
    <row r="218" ht="12.75" customHeight="1">
      <c r="J218" s="57"/>
    </row>
    <row r="219" ht="12.75" customHeight="1"/>
    <row r="220" ht="12.75" customHeight="1"/>
    <row r="221" ht="12.75" customHeight="1">
      <c r="J221" s="58"/>
    </row>
    <row r="222" ht="12.75" customHeight="1">
      <c r="J222" s="58"/>
    </row>
    <row r="223" ht="12.75" customHeight="1">
      <c r="J223" s="58"/>
    </row>
    <row r="224" ht="12.75" customHeight="1">
      <c r="J224" s="57"/>
    </row>
    <row r="225" ht="12.75" customHeight="1">
      <c r="J225" s="57"/>
    </row>
    <row r="226" ht="12.75" customHeight="1"/>
    <row r="227" ht="12.75" customHeight="1"/>
    <row r="228" ht="12.75" customHeight="1">
      <c r="J228" s="58"/>
    </row>
    <row r="229" ht="12.75" customHeight="1">
      <c r="J229" s="58"/>
    </row>
    <row r="230" ht="12.75" customHeight="1">
      <c r="J230" s="58"/>
    </row>
    <row r="231" ht="12.75" customHeight="1">
      <c r="J231" s="57"/>
    </row>
    <row r="232" ht="12.75" customHeight="1">
      <c r="J232" s="57"/>
    </row>
    <row r="233" ht="12.75" customHeight="1"/>
    <row r="234" ht="12.75" customHeight="1"/>
    <row r="235" ht="12.75" customHeight="1">
      <c r="J235" s="58"/>
    </row>
    <row r="236" ht="12.75" customHeight="1">
      <c r="J236" s="58"/>
    </row>
    <row r="237" ht="12.75" customHeight="1">
      <c r="J237" s="58"/>
    </row>
    <row r="238" ht="12.75" customHeight="1">
      <c r="J238" s="57"/>
    </row>
    <row r="239" ht="12.75" customHeight="1">
      <c r="J239" s="57"/>
    </row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>
      <c r="J245" s="57"/>
    </row>
    <row r="246" ht="12.75" customHeight="1">
      <c r="J246" s="58"/>
    </row>
    <row r="247" ht="12.75" customHeight="1">
      <c r="J247" s="58"/>
    </row>
    <row r="248" ht="12.75" customHeight="1">
      <c r="J248" s="58"/>
    </row>
    <row r="249" ht="12.75" customHeight="1">
      <c r="J249" s="57"/>
    </row>
    <row r="250" ht="12.75" customHeight="1">
      <c r="J250" s="57"/>
    </row>
    <row r="251" ht="12.75" customHeight="1"/>
    <row r="252" ht="12.75" customHeight="1"/>
    <row r="253" ht="12.75" customHeight="1">
      <c r="J253" s="57"/>
    </row>
    <row r="254" ht="12.75" customHeight="1">
      <c r="J254" s="58"/>
    </row>
    <row r="255" ht="12.75" customHeight="1">
      <c r="J255" s="58"/>
    </row>
    <row r="256" ht="12.75" customHeight="1">
      <c r="J256" s="58"/>
    </row>
    <row r="257" ht="12.75" customHeight="1">
      <c r="J257" s="57"/>
    </row>
    <row r="258" ht="12.75" customHeight="1">
      <c r="J258" s="57"/>
    </row>
    <row r="259" ht="12.75" customHeight="1"/>
    <row r="260" ht="12.75" customHeight="1"/>
    <row r="261" ht="12.75" customHeight="1">
      <c r="J261" s="57"/>
    </row>
    <row r="262" ht="12.75" customHeight="1">
      <c r="J262" s="58"/>
    </row>
    <row r="263" ht="12.75" customHeight="1">
      <c r="J263" s="58"/>
    </row>
    <row r="264" ht="12.75" customHeight="1">
      <c r="J264" s="58"/>
    </row>
    <row r="265" ht="12.75" customHeight="1">
      <c r="J265" s="57"/>
    </row>
    <row r="266" ht="12.75" customHeight="1">
      <c r="J266" s="57"/>
    </row>
    <row r="267" ht="12.75" customHeight="1"/>
    <row r="268" ht="12.75" customHeight="1"/>
    <row r="269" ht="12.75" customHeight="1"/>
    <row r="270" ht="12.75" customHeight="1"/>
    <row r="271" ht="12.75" customHeight="1">
      <c r="J271" s="57"/>
    </row>
    <row r="272" ht="12.75" customHeight="1">
      <c r="J272" s="58"/>
    </row>
    <row r="273" ht="12.75" customHeight="1">
      <c r="J273" s="58"/>
    </row>
    <row r="274" ht="12.75" customHeight="1">
      <c r="J274" s="58"/>
    </row>
    <row r="275" ht="12.75" customHeight="1">
      <c r="J275" s="57"/>
    </row>
    <row r="276" ht="12.75" customHeight="1">
      <c r="J276" s="57"/>
    </row>
    <row r="277" ht="12.75" customHeight="1"/>
    <row r="278" ht="12.75" customHeight="1"/>
    <row r="279" ht="12.75" customHeight="1">
      <c r="J279" s="57"/>
    </row>
    <row r="280" ht="12.75" customHeight="1">
      <c r="J280" s="58"/>
    </row>
    <row r="281" ht="12.75" customHeight="1">
      <c r="J281" s="58"/>
    </row>
    <row r="282" ht="12.75" customHeight="1">
      <c r="J282" s="58"/>
    </row>
    <row r="283" ht="12.75" customHeight="1">
      <c r="J283" s="57"/>
    </row>
    <row r="284" ht="12.75" customHeight="1">
      <c r="J284" s="57"/>
    </row>
    <row r="285" ht="12.75" customHeight="1"/>
    <row r="286" ht="12.75" customHeight="1"/>
    <row r="287" ht="12.75" customHeight="1">
      <c r="J287" s="57"/>
    </row>
    <row r="288" ht="12.75" customHeight="1">
      <c r="J288" s="58"/>
    </row>
    <row r="289" ht="12.75" customHeight="1">
      <c r="J289" s="58"/>
    </row>
    <row r="290" ht="12.75" customHeight="1">
      <c r="J290" s="58"/>
    </row>
    <row r="291" ht="12.75" customHeight="1">
      <c r="J291" s="57"/>
    </row>
    <row r="292" ht="12.75" customHeight="1">
      <c r="J292" s="57"/>
    </row>
    <row r="293" ht="12.75" customHeight="1"/>
    <row r="294" ht="12.75" customHeight="1"/>
    <row r="295" ht="12.75" customHeight="1"/>
    <row r="296" ht="12.75" customHeight="1">
      <c r="J296" s="57"/>
    </row>
    <row r="297" ht="12.75" customHeight="1">
      <c r="J297" s="58"/>
    </row>
    <row r="298" ht="12.75" customHeight="1">
      <c r="J298" s="58"/>
    </row>
    <row r="299" ht="12.75" customHeight="1">
      <c r="J299" s="58"/>
    </row>
    <row r="300" ht="12.75" customHeight="1">
      <c r="J300" s="57"/>
    </row>
    <row r="301" ht="12.75" customHeight="1">
      <c r="J301" s="57"/>
    </row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10" useFirstPageNumber="1" horizontalDpi="600" verticalDpi="600" orientation="portrait" scale="60" r:id="rId2"/>
  <headerFooter alignWithMargins="0">
    <oddHeader>&amp;L&amp;"Arial,Bold"&amp;12Wind Turbine Farm Economic Viability Model</oddHeader>
    <oddFooter>&amp;L&amp;F,  www.vanfm.com&amp;CPage &amp;P&amp;Rby Tom Kingston P.Eng MBA (604) 694-2501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Kingston</dc:creator>
  <cp:keywords/>
  <dc:description/>
  <cp:lastModifiedBy>Tom Kingston</cp:lastModifiedBy>
  <cp:lastPrinted>2003-02-12T17:34:44Z</cp:lastPrinted>
  <dcterms:created xsi:type="dcterms:W3CDTF">2002-06-13T14:57:47Z</dcterms:created>
  <dcterms:modified xsi:type="dcterms:W3CDTF">2003-02-12T17:37:59Z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